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https://sandag.sharepoint.com/teams/Mobility/Shared Documents/Projects/On the Move/Deliverables/Task 3 Transportation Assessment and Recommendations/"/>
    </mc:Choice>
  </mc:AlternateContent>
  <xr:revisionPtr revIDLastSave="0" documentId="8_{C4F21B71-F186-4B6B-B336-C1E8CFDA5334}" xr6:coauthVersionLast="47" xr6:coauthVersionMax="47" xr10:uidLastSave="{00000000-0000-0000-0000-000000000000}"/>
  <bookViews>
    <workbookView minimized="1" xWindow="12500" yWindow="340" windowWidth="12800" windowHeight="10320" firstSheet="4" activeTab="4" xr2:uid="{00000000-000D-0000-FFFF-FFFF00000000}"/>
  </bookViews>
  <sheets>
    <sheet name="READ ME and Calculator" sheetId="19" r:id="rId1"/>
    <sheet name="Bus Platforms" sheetId="3" r:id="rId2"/>
    <sheet name="Common Treatments" sheetId="16" r:id="rId3"/>
    <sheet name=" Seating" sheetId="8" r:id="rId4"/>
    <sheet name="Ped. Improvements" sheetId="5" r:id="rId5"/>
    <sheet name="Lighting" sheetId="15" r:id="rId6"/>
    <sheet name="TSP and Queue Jump" sheetId="2" r:id="rId7"/>
    <sheet name="Case Studies - Busways" sheetId="4" r:id="rId8"/>
    <sheet name="Inflation Factor and Modifiers" sheetId="17" r:id="rId9"/>
  </sheets>
  <definedNames>
    <definedName name="Bollards">#REF!</definedName>
    <definedName name="Bus_Bulbs">#REF!</definedName>
    <definedName name="Lighting">#REF!</definedName>
    <definedName name="Paint">#REF!</definedName>
    <definedName name="Ped_Improvement">#REF!</definedName>
    <definedName name="Seating">#REF!</definedName>
    <definedName name="Signage">#REF!</definedName>
    <definedName name="Signal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5" l="1"/>
  <c r="S5" i="5"/>
  <c r="U5" i="16"/>
  <c r="S4" i="16"/>
  <c r="U20" i="15"/>
  <c r="S20" i="15"/>
  <c r="Q20" i="15"/>
  <c r="U19" i="15"/>
  <c r="S19" i="15"/>
  <c r="Q19" i="15"/>
  <c r="U18" i="15"/>
  <c r="S18" i="15"/>
  <c r="Q18" i="15"/>
  <c r="U17" i="15"/>
  <c r="S17" i="15"/>
  <c r="Q17" i="15"/>
  <c r="U16" i="15"/>
  <c r="S16" i="15"/>
  <c r="Q16" i="15"/>
  <c r="U15" i="15"/>
  <c r="S15" i="15"/>
  <c r="Q15" i="15"/>
  <c r="U14" i="15"/>
  <c r="S14" i="15"/>
  <c r="Q14" i="15"/>
  <c r="U13" i="15"/>
  <c r="S13" i="15"/>
  <c r="Q13" i="15"/>
  <c r="U12" i="15"/>
  <c r="S12" i="15"/>
  <c r="Q12" i="15"/>
  <c r="U11" i="15"/>
  <c r="S11" i="15"/>
  <c r="Q11" i="15"/>
  <c r="U10" i="15"/>
  <c r="S10" i="15"/>
  <c r="Q10" i="15"/>
  <c r="U9" i="15"/>
  <c r="S9" i="15"/>
  <c r="Q9" i="15"/>
  <c r="U8" i="15"/>
  <c r="S8" i="15"/>
  <c r="Q8" i="15"/>
  <c r="U7" i="15"/>
  <c r="S7" i="15"/>
  <c r="Q7" i="15"/>
  <c r="U19" i="5"/>
  <c r="S19" i="5"/>
  <c r="Q19" i="5"/>
  <c r="U18" i="5"/>
  <c r="S18" i="5"/>
  <c r="Q18" i="5"/>
  <c r="U17" i="5"/>
  <c r="S17" i="5"/>
  <c r="Q17" i="5"/>
  <c r="U16" i="5"/>
  <c r="S16" i="5"/>
  <c r="Q16" i="5"/>
  <c r="U15" i="5"/>
  <c r="S15" i="5"/>
  <c r="Q15" i="5"/>
  <c r="U14" i="5"/>
  <c r="S14" i="5"/>
  <c r="Q14" i="5"/>
  <c r="U13" i="5"/>
  <c r="S13" i="5"/>
  <c r="Q13" i="5"/>
  <c r="U12" i="5"/>
  <c r="S12" i="5"/>
  <c r="Q12" i="5"/>
  <c r="U6" i="5"/>
  <c r="S6" i="5"/>
  <c r="U20" i="8"/>
  <c r="S20" i="8"/>
  <c r="Q20" i="8"/>
  <c r="U19" i="8"/>
  <c r="S19" i="8"/>
  <c r="Q19" i="8"/>
  <c r="U18" i="8"/>
  <c r="S18" i="8"/>
  <c r="Q18" i="8"/>
  <c r="U17" i="8"/>
  <c r="S17" i="8"/>
  <c r="Q17" i="8"/>
  <c r="U16" i="8"/>
  <c r="S16" i="8"/>
  <c r="Q16" i="8"/>
  <c r="U15" i="8"/>
  <c r="S15" i="8"/>
  <c r="Q15" i="8"/>
  <c r="U14" i="8"/>
  <c r="S14" i="8"/>
  <c r="Q14" i="8"/>
  <c r="U13" i="8"/>
  <c r="S13" i="8"/>
  <c r="Q13" i="8"/>
  <c r="U12" i="8"/>
  <c r="S12" i="8"/>
  <c r="Q12" i="8"/>
  <c r="U11" i="8"/>
  <c r="S11" i="8"/>
  <c r="Q11" i="8"/>
  <c r="U10" i="8"/>
  <c r="S10" i="8"/>
  <c r="Q10" i="8"/>
  <c r="U9" i="8"/>
  <c r="S9" i="8"/>
  <c r="Q9" i="8"/>
  <c r="U8" i="8"/>
  <c r="S8" i="8"/>
  <c r="Q8" i="8"/>
  <c r="U7" i="8"/>
  <c r="S7" i="8"/>
  <c r="Q7" i="8"/>
  <c r="U6" i="8"/>
  <c r="S6" i="8"/>
  <c r="Q6" i="8"/>
  <c r="Q5" i="8"/>
  <c r="U20" i="3"/>
  <c r="S20" i="3"/>
  <c r="Q20" i="3"/>
  <c r="U19" i="3"/>
  <c r="S19" i="3"/>
  <c r="Q19" i="3"/>
  <c r="U18" i="3"/>
  <c r="S18" i="3"/>
  <c r="Q18" i="3"/>
  <c r="U17" i="3"/>
  <c r="S17" i="3"/>
  <c r="Q17" i="3"/>
  <c r="U16" i="3"/>
  <c r="S16" i="3"/>
  <c r="Q16" i="3"/>
  <c r="U15" i="3"/>
  <c r="S15" i="3"/>
  <c r="Q15" i="3"/>
  <c r="U14" i="3"/>
  <c r="S14" i="3"/>
  <c r="Q14" i="3"/>
  <c r="U13" i="3"/>
  <c r="S13" i="3"/>
  <c r="Q13" i="3"/>
  <c r="U12" i="3"/>
  <c r="S12" i="3"/>
  <c r="Q12" i="3"/>
  <c r="U11" i="3"/>
  <c r="S11" i="3"/>
  <c r="Q11" i="3"/>
  <c r="U10" i="3"/>
  <c r="S10" i="3"/>
  <c r="Q10" i="3"/>
  <c r="U9" i="3"/>
  <c r="S9" i="3"/>
  <c r="Q9" i="3"/>
  <c r="U8" i="3"/>
  <c r="S8" i="3"/>
  <c r="Q8" i="3"/>
  <c r="H5" i="19"/>
  <c r="G5" i="19"/>
  <c r="G13" i="16"/>
  <c r="I13" i="16" s="1"/>
  <c r="I6" i="15"/>
  <c r="Q6" i="15" s="1"/>
  <c r="I5" i="15"/>
  <c r="Q5" i="15" s="1"/>
  <c r="I4" i="15"/>
  <c r="Q4" i="15" s="1"/>
  <c r="I10" i="5"/>
  <c r="Q10" i="5" s="1"/>
  <c r="I9" i="5"/>
  <c r="Q9" i="5" s="1"/>
  <c r="I8" i="5"/>
  <c r="Q8" i="5" s="1"/>
  <c r="I7" i="5"/>
  <c r="Q7" i="5" s="1"/>
  <c r="I6" i="5"/>
  <c r="Q6" i="5" s="1"/>
  <c r="I5" i="5"/>
  <c r="Q5" i="5" s="1"/>
  <c r="I5" i="8"/>
  <c r="I4" i="8"/>
  <c r="Q4" i="8" s="1"/>
  <c r="Q22" i="8" s="1"/>
  <c r="I7" i="3"/>
  <c r="Q7" i="3" s="1"/>
  <c r="I6" i="3"/>
  <c r="Q6" i="3" s="1"/>
  <c r="I5" i="3"/>
  <c r="Q5" i="3" s="1"/>
  <c r="I4" i="3"/>
  <c r="Q4" i="3" s="1"/>
  <c r="Q22" i="3" s="1"/>
  <c r="I8" i="16"/>
  <c r="Q8" i="16" s="1"/>
  <c r="I9" i="16"/>
  <c r="Q9" i="16" s="1"/>
  <c r="I10" i="16"/>
  <c r="Q10" i="16" s="1"/>
  <c r="I12" i="16"/>
  <c r="Q12" i="16" s="1"/>
  <c r="I14" i="16"/>
  <c r="Q14" i="16" s="1"/>
  <c r="I15" i="16"/>
  <c r="Q15" i="16" s="1"/>
  <c r="I16" i="16"/>
  <c r="Q16" i="16" s="1"/>
  <c r="I17" i="16"/>
  <c r="Q17" i="16" s="1"/>
  <c r="I18" i="16"/>
  <c r="Q18" i="16" s="1"/>
  <c r="I19" i="16"/>
  <c r="Q19" i="16" s="1"/>
  <c r="I4" i="16"/>
  <c r="Q4" i="16" s="1"/>
  <c r="I5" i="16"/>
  <c r="Q5" i="16" s="1"/>
  <c r="I7" i="16"/>
  <c r="Q7" i="16" s="1"/>
  <c r="Q22" i="15" l="1"/>
  <c r="Q13" i="16"/>
  <c r="M13" i="16"/>
  <c r="U13" i="16" s="1"/>
  <c r="L13" i="16"/>
  <c r="S13" i="16" s="1"/>
  <c r="H8" i="19" l="1"/>
  <c r="H6" i="19"/>
  <c r="G8" i="19"/>
  <c r="G6" i="19"/>
  <c r="E5" i="19" l="1"/>
  <c r="L4" i="3"/>
  <c r="S4" i="3" s="1"/>
  <c r="L8" i="5" l="1"/>
  <c r="S8" i="5" s="1"/>
  <c r="M9" i="5"/>
  <c r="U9" i="5" s="1"/>
  <c r="M8" i="5"/>
  <c r="U8" i="5" s="1"/>
  <c r="L9" i="5"/>
  <c r="S9" i="5" s="1"/>
  <c r="L10" i="5" l="1"/>
  <c r="S10" i="5" s="1"/>
  <c r="M10" i="5"/>
  <c r="U10" i="5" s="1"/>
  <c r="M4" i="15" l="1"/>
  <c r="U4" i="15" s="1"/>
  <c r="M6" i="15"/>
  <c r="U6" i="15" s="1"/>
  <c r="L5" i="15"/>
  <c r="S5" i="15" s="1"/>
  <c r="M7" i="5"/>
  <c r="U7" i="5" s="1"/>
  <c r="M5" i="5"/>
  <c r="U5" i="5" s="1"/>
  <c r="L18" i="16"/>
  <c r="S18" i="16" s="1"/>
  <c r="M19" i="16"/>
  <c r="U19" i="16" s="1"/>
  <c r="M5" i="15"/>
  <c r="U5" i="15" s="1"/>
  <c r="L6" i="15"/>
  <c r="S6" i="15" s="1"/>
  <c r="L4" i="15"/>
  <c r="S4" i="15" s="1"/>
  <c r="L5" i="5"/>
  <c r="L19" i="16"/>
  <c r="S19" i="16" s="1"/>
  <c r="M18" i="16"/>
  <c r="U18" i="16" s="1"/>
  <c r="L7" i="5"/>
  <c r="S7" i="5" s="1"/>
  <c r="U22" i="15" l="1"/>
  <c r="S22" i="15"/>
  <c r="E8" i="19"/>
  <c r="E6" i="19"/>
  <c r="M4" i="8"/>
  <c r="U4" i="8" s="1"/>
  <c r="M5" i="8"/>
  <c r="U5" i="8" s="1"/>
  <c r="L7" i="16"/>
  <c r="S7" i="16" s="1"/>
  <c r="L5" i="8"/>
  <c r="S5" i="8" s="1"/>
  <c r="M7" i="16"/>
  <c r="U7" i="16" s="1"/>
  <c r="L4" i="8"/>
  <c r="S4" i="8" s="1"/>
  <c r="S22" i="8" s="1"/>
  <c r="D6" i="17"/>
  <c r="I6" i="16" s="1"/>
  <c r="Q6" i="16" s="1"/>
  <c r="D7" i="17"/>
  <c r="D8" i="17"/>
  <c r="D9" i="17"/>
  <c r="D10" i="17"/>
  <c r="I11" i="5" s="1"/>
  <c r="Q11" i="5" s="1"/>
  <c r="D11" i="17"/>
  <c r="D12" i="17"/>
  <c r="D13" i="17"/>
  <c r="D14" i="17"/>
  <c r="D15" i="17"/>
  <c r="D16" i="17"/>
  <c r="D17" i="17"/>
  <c r="D18" i="17"/>
  <c r="D19" i="17"/>
  <c r="D20" i="17"/>
  <c r="D21" i="17"/>
  <c r="D22" i="17"/>
  <c r="D23" i="17"/>
  <c r="D24" i="17"/>
  <c r="D25" i="17"/>
  <c r="D26" i="17"/>
  <c r="D27" i="17"/>
  <c r="D28" i="17"/>
  <c r="D5" i="17"/>
  <c r="I4" i="5" l="1"/>
  <c r="Q4" i="5" s="1"/>
  <c r="Q21" i="5" s="1"/>
  <c r="I11" i="16"/>
  <c r="Q11" i="16" s="1"/>
  <c r="U22" i="8"/>
  <c r="L11" i="5"/>
  <c r="S11" i="5" s="1"/>
  <c r="G6" i="2"/>
  <c r="M6" i="2" s="1"/>
  <c r="E6" i="2"/>
  <c r="K6" i="2" s="1"/>
  <c r="G7" i="2"/>
  <c r="M7" i="2" s="1"/>
  <c r="E7" i="2"/>
  <c r="K7" i="2" s="1"/>
  <c r="E4" i="2"/>
  <c r="K4" i="2" s="1"/>
  <c r="G5" i="2"/>
  <c r="M5" i="2" s="1"/>
  <c r="E5" i="2"/>
  <c r="K5" i="2" s="1"/>
  <c r="G4" i="2"/>
  <c r="M4" i="2" s="1"/>
  <c r="L4" i="16"/>
  <c r="L12" i="16"/>
  <c r="S12" i="16" s="1"/>
  <c r="M5" i="16"/>
  <c r="M17" i="16"/>
  <c r="U17" i="16" s="1"/>
  <c r="L15" i="16"/>
  <c r="S15" i="16" s="1"/>
  <c r="M8" i="16"/>
  <c r="U8" i="16" s="1"/>
  <c r="L9" i="16"/>
  <c r="S9" i="16" s="1"/>
  <c r="L16" i="16"/>
  <c r="S16" i="16" s="1"/>
  <c r="M14" i="16"/>
  <c r="U14" i="16" s="1"/>
  <c r="L14" i="16"/>
  <c r="S14" i="16" s="1"/>
  <c r="M12" i="16"/>
  <c r="U12" i="16" s="1"/>
  <c r="M9" i="16"/>
  <c r="U9" i="16" s="1"/>
  <c r="L5" i="16"/>
  <c r="S5" i="16" s="1"/>
  <c r="L17" i="16"/>
  <c r="S17" i="16" s="1"/>
  <c r="M4" i="16"/>
  <c r="U4" i="16" s="1"/>
  <c r="M16" i="16"/>
  <c r="U16" i="16" s="1"/>
  <c r="M15" i="16"/>
  <c r="U15" i="16" s="1"/>
  <c r="L8" i="16"/>
  <c r="S8" i="16" s="1"/>
  <c r="M4" i="5" l="1"/>
  <c r="U4" i="5" s="1"/>
  <c r="K9" i="2"/>
  <c r="M9" i="2"/>
  <c r="M10" i="16"/>
  <c r="U10" i="16" s="1"/>
  <c r="L10" i="16"/>
  <c r="S10" i="16" s="1"/>
  <c r="L4" i="5"/>
  <c r="S4" i="5" s="1"/>
  <c r="S21" i="5" s="1"/>
  <c r="E7" i="19"/>
  <c r="M11" i="5"/>
  <c r="M11" i="16"/>
  <c r="U11" i="16" s="1"/>
  <c r="L11" i="16"/>
  <c r="S11" i="16" s="1"/>
  <c r="L6" i="16"/>
  <c r="S6" i="16" s="1"/>
  <c r="E9" i="19"/>
  <c r="G7" i="19"/>
  <c r="H7" i="19"/>
  <c r="M6" i="16"/>
  <c r="U6" i="16" s="1"/>
  <c r="P4" i="4"/>
  <c r="U21" i="5" l="1"/>
  <c r="U21" i="16"/>
  <c r="Q21" i="16"/>
  <c r="E4" i="19" s="1"/>
  <c r="E11" i="19" s="1"/>
  <c r="E17" i="19" s="1"/>
  <c r="S21" i="16"/>
  <c r="G4" i="19" s="1"/>
  <c r="H4" i="19"/>
  <c r="P6" i="4"/>
  <c r="Q9" i="4"/>
  <c r="P9" i="4"/>
  <c r="Q7" i="4"/>
  <c r="P7" i="4"/>
  <c r="Q5" i="4"/>
  <c r="P5" i="4"/>
  <c r="Q11" i="4"/>
  <c r="P11" i="4"/>
  <c r="Q10" i="4"/>
  <c r="P10" i="4"/>
  <c r="Q8" i="4"/>
  <c r="P8" i="4"/>
  <c r="Q6" i="4"/>
  <c r="Q4" i="4"/>
  <c r="M5" i="3"/>
  <c r="U5" i="3" s="1"/>
  <c r="M6" i="3"/>
  <c r="U6" i="3" s="1"/>
  <c r="M7" i="3"/>
  <c r="U7" i="3" s="1"/>
  <c r="L5" i="3"/>
  <c r="S5" i="3" s="1"/>
  <c r="L6" i="3"/>
  <c r="S6" i="3" s="1"/>
  <c r="L7" i="3"/>
  <c r="S7" i="3" s="1"/>
  <c r="M4" i="3"/>
  <c r="U4" i="3" s="1"/>
  <c r="U22" i="3" l="1"/>
  <c r="S22" i="3"/>
  <c r="H11" i="19"/>
  <c r="H17" i="19" s="1"/>
  <c r="H8" i="4"/>
  <c r="I8" i="4" s="1"/>
  <c r="H5" i="4"/>
  <c r="I5" i="4" s="1"/>
  <c r="H9" i="4"/>
  <c r="I9" i="4" s="1"/>
  <c r="H11" i="4"/>
  <c r="I11" i="4" s="1"/>
  <c r="H10" i="4"/>
  <c r="I10" i="4" s="1"/>
  <c r="H7" i="4" l="1"/>
  <c r="I7" i="4" s="1"/>
  <c r="H6" i="4"/>
  <c r="I6" i="4" s="1"/>
  <c r="H4" i="4"/>
  <c r="I4" i="4" s="1"/>
  <c r="G9" i="19"/>
  <c r="G11" i="19" s="1"/>
  <c r="G17" i="19" s="1"/>
</calcChain>
</file>

<file path=xl/sharedStrings.xml><?xml version="1.0" encoding="utf-8"?>
<sst xmlns="http://schemas.openxmlformats.org/spreadsheetml/2006/main" count="391" uniqueCount="153">
  <si>
    <t xml:space="preserve">On the Move: Quick Build Cost Calculator
This calculator is intended to be an adjustable and useful tool to estimate the cost of Quick Build bus projects in San Diego. This spreadsheet can be used to get a total cost for a project that includes multiple treatments, as well as the expected maintenance costs per year for the project. 
The cost estimates in this calculator are pulled from previous projects (adjusted for inflation), previous studies, or were received from manufacturers. 
</t>
  </si>
  <si>
    <t>Treatments</t>
  </si>
  <si>
    <t>Capital Cost</t>
  </si>
  <si>
    <t>Low Cost/Year</t>
  </si>
  <si>
    <t>High Cost/Year</t>
  </si>
  <si>
    <t>Common Treatments</t>
  </si>
  <si>
    <t>Bus Platforms</t>
  </si>
  <si>
    <t>Seating</t>
  </si>
  <si>
    <t>Pedestrian Improvements</t>
  </si>
  <si>
    <t>Lighting</t>
  </si>
  <si>
    <t>TSP and Queue Jump</t>
  </si>
  <si>
    <t>-</t>
  </si>
  <si>
    <t>Note: Only one maintenance cost calculated for TSP</t>
  </si>
  <si>
    <t>Sum</t>
  </si>
  <si>
    <t>Contingency</t>
  </si>
  <si>
    <t>TOTALS</t>
  </si>
  <si>
    <t>Year</t>
  </si>
  <si>
    <t>Costs</t>
  </si>
  <si>
    <t>Cost Per Year</t>
  </si>
  <si>
    <t>Treatment</t>
  </si>
  <si>
    <t>Treatment Category</t>
  </si>
  <si>
    <t>Source</t>
  </si>
  <si>
    <t>Link</t>
  </si>
  <si>
    <t>Unit</t>
  </si>
  <si>
    <t xml:space="preserve">Cost/Unit (Base Year) </t>
  </si>
  <si>
    <t>Installation/Labor if applicable</t>
  </si>
  <si>
    <t>Loaded Unit Cost (2024$)</t>
  </si>
  <si>
    <t>Lower Lifespan (years)</t>
  </si>
  <si>
    <t>Upper Lifespan (years)</t>
  </si>
  <si>
    <t>Low cost per year (replacement)</t>
  </si>
  <si>
    <t>High cost per year (replacement)</t>
  </si>
  <si>
    <t>Insert Quantity</t>
  </si>
  <si>
    <t>Cost</t>
  </si>
  <si>
    <t>Zicla Vectorial Sidewalk Extension</t>
  </si>
  <si>
    <t>Bus Bulbs</t>
  </si>
  <si>
    <t>Zicla Vectorial Price List</t>
  </si>
  <si>
    <t>Zicla Vectorial</t>
  </si>
  <si>
    <t>EA</t>
  </si>
  <si>
    <t>Zicla Vectorial Bus Island</t>
  </si>
  <si>
    <t>Zicla Vectorial Integrated Cycle</t>
  </si>
  <si>
    <t>Zicla Vectorial Access Bridge and Integrated Cycle</t>
  </si>
  <si>
    <t>Total Cost</t>
  </si>
  <si>
    <t>Paint Curb</t>
  </si>
  <si>
    <t>Curb Paint</t>
  </si>
  <si>
    <t>Caltrans Contract Cost Data</t>
  </si>
  <si>
    <t>Caltrans Contract Costs</t>
  </si>
  <si>
    <t>SQFT</t>
  </si>
  <si>
    <t>Class I Delineator</t>
  </si>
  <si>
    <t>Delineators</t>
  </si>
  <si>
    <t>PEXCO City Post Delineators</t>
  </si>
  <si>
    <t>Mid-Coast Trolley Bike Lane Improvements Costs</t>
  </si>
  <si>
    <t>Mid-Coast Trolley</t>
  </si>
  <si>
    <t>"Pointer" Modular Traffic Lane Divider</t>
  </si>
  <si>
    <t>Paint Pavement Marking (2-Coat)</t>
  </si>
  <si>
    <t>Paint</t>
  </si>
  <si>
    <t>Roadsign Sign - One Post</t>
  </si>
  <si>
    <t>Signage</t>
  </si>
  <si>
    <t>Strap and Saddle Sign</t>
  </si>
  <si>
    <t>Red Thermoplastic Pavement Marking (Bus)</t>
  </si>
  <si>
    <t>Thermoplastic</t>
  </si>
  <si>
    <t>Thermoplastic Pavement Markings (Area)</t>
  </si>
  <si>
    <t>Turn Arrows</t>
  </si>
  <si>
    <t>6" Thermoplastic Traffic Stripe</t>
  </si>
  <si>
    <t>LF</t>
  </si>
  <si>
    <t>8" Thermoplastic Traffic Stripe</t>
  </si>
  <si>
    <t>12" Thermoplastic Traffic Stripe</t>
  </si>
  <si>
    <t>Preformed Thermoplastic Pavement Markings</t>
  </si>
  <si>
    <t>"BUS ONLY" Thermoplastic Stencil</t>
  </si>
  <si>
    <t>Downtown to Imperial Avenue Bikeway Cost Estimates</t>
  </si>
  <si>
    <t>Imperial Avenue Bikeway</t>
  </si>
  <si>
    <t>"KEEP CLEAR" Thermoplastic Stencil</t>
  </si>
  <si>
    <t>Easy Recreation Bus Cubes</t>
  </si>
  <si>
    <t>Easy Recreation Price Estimation</t>
  </si>
  <si>
    <t>Bus Cubes</t>
  </si>
  <si>
    <t>Simme Seat</t>
  </si>
  <si>
    <t>Simme Seat Price Estimation</t>
  </si>
  <si>
    <t>Simme Seats</t>
  </si>
  <si>
    <t>Rapid Rectangular Flashing Beacon</t>
  </si>
  <si>
    <t>Methacrylate Paint Crosswalk</t>
  </si>
  <si>
    <t>Crosswalk</t>
  </si>
  <si>
    <t>Thermoplastic Crosswalk</t>
  </si>
  <si>
    <t>Temporary Driver Speed Sign</t>
  </si>
  <si>
    <t>US Reflector Modular Pedestrian Refuge Island - 1 Piece</t>
  </si>
  <si>
    <t>Ped Improvement</t>
  </si>
  <si>
    <t>US Reflector Safety Products</t>
  </si>
  <si>
    <t>Website Link</t>
  </si>
  <si>
    <t>US Reflector Modular Pedestrian Refuge Island - 2 Pieces</t>
  </si>
  <si>
    <t>US Reflector Modular Pedestrian Refuge Island Extensions</t>
  </si>
  <si>
    <t>PPP Redipave Modular Median</t>
  </si>
  <si>
    <t>Professional Pavement Products Company</t>
  </si>
  <si>
    <t>SolarIlluminations: Solar Bus Stop Lighting System</t>
  </si>
  <si>
    <t>SolarIlluminations - Consultations with Staff</t>
  </si>
  <si>
    <t>Sels Solar Transit Pole Solar Light</t>
  </si>
  <si>
    <t>Sels Solar - Consultations with Staff</t>
  </si>
  <si>
    <t>SEPCO - Solar Electric Power Company - Bus Stop Lighting Pole</t>
  </si>
  <si>
    <t>SEPCO Quote</t>
  </si>
  <si>
    <t xml:space="preserve">TSP Data From: </t>
  </si>
  <si>
    <t>IBOT Study (2017)</t>
  </si>
  <si>
    <t>Cost/Unit (2024$)</t>
  </si>
  <si>
    <t>Maintenance Cost/Year (Base Year)</t>
  </si>
  <si>
    <t>Maintenance Cost/Year (2024$)</t>
  </si>
  <si>
    <t>Cost/Year</t>
  </si>
  <si>
    <t>Minor/Minor Intersection Signal Upgrades</t>
  </si>
  <si>
    <t>Per Intersection</t>
  </si>
  <si>
    <t>Minor/Major Intersection Signal Upgrades</t>
  </si>
  <si>
    <t>Major/Major Intersection Signal Upgrades</t>
  </si>
  <si>
    <t>Bus Equipment (Transponder and other equipment)</t>
  </si>
  <si>
    <t>Per Bus</t>
  </si>
  <si>
    <t>IMPLEMENTATION</t>
  </si>
  <si>
    <t>COST PER YEAR</t>
  </si>
  <si>
    <t>Category</t>
  </si>
  <si>
    <t>Organization</t>
  </si>
  <si>
    <t xml:space="preserve">Cost (Base Year) </t>
  </si>
  <si>
    <t>Length (Mile)</t>
  </si>
  <si>
    <t>Cost per Mile</t>
  </si>
  <si>
    <t>Cost per Mile (2024$)</t>
  </si>
  <si>
    <t>Road Material (Assumption for Maintenance)</t>
  </si>
  <si>
    <t xml:space="preserve">Road Material Maintenance </t>
  </si>
  <si>
    <t>Yearly Maintenance per mile per year (low)</t>
  </si>
  <si>
    <t>Yearly Maintenance per mile per year (high)</t>
  </si>
  <si>
    <t>Bus Priority/Right Turn</t>
  </si>
  <si>
    <t>City of San Diego</t>
  </si>
  <si>
    <t>Bus Priority Lane (White Striping)</t>
  </si>
  <si>
    <t>City of SD El Cajon Boulevard Bus Lane</t>
  </si>
  <si>
    <t>Metropolitan Washington Council of Governments</t>
  </si>
  <si>
    <t>Bus Priority Lane (Full Lane Red Paint)</t>
  </si>
  <si>
    <t>MWCOG Bus Priority Lane</t>
  </si>
  <si>
    <t>Furnish and Install Red Pavement Coating for Bus Lane</t>
  </si>
  <si>
    <t>Bus Bike</t>
  </si>
  <si>
    <t>City of Bellingham, WA</t>
  </si>
  <si>
    <t>Shared Bus-Bike Lane (White Striping)</t>
  </si>
  <si>
    <t>Bellingham Shared Bus Bike Lane Estimate</t>
  </si>
  <si>
    <t>Portland Bureau of Transportation</t>
  </si>
  <si>
    <t>Shared Bus-Bike Lane (Full Lane Red Paint)</t>
  </si>
  <si>
    <t>Portland Bus Bike Lane Pilots</t>
  </si>
  <si>
    <t>Dedicated Bus Lanes</t>
  </si>
  <si>
    <t>Transportation Research Board</t>
  </si>
  <si>
    <t>Conversion of GP Lane to Bus Lane (White Striping)</t>
  </si>
  <si>
    <t>TRB Dedicated Bus Lane Cost Estimates</t>
  </si>
  <si>
    <t>Alameda-Contra Costa Transit District</t>
  </si>
  <si>
    <t>Bus Lane Pilot (Full Lane Red Paint)</t>
  </si>
  <si>
    <t>Berkeley Bancroft Busway Pilot</t>
  </si>
  <si>
    <t>Peak-Period Bus Lanes</t>
  </si>
  <si>
    <t>City of Everett, MA</t>
  </si>
  <si>
    <t>Bus Lane Pilot (White Striping)</t>
  </si>
  <si>
    <t>City of Everett Bus Lane Pilot</t>
  </si>
  <si>
    <t>Metro Transit (Minneapolis, MI)</t>
  </si>
  <si>
    <t>Bus Lane Pilot (Cones) (3-day pilot)</t>
  </si>
  <si>
    <t>Minneapolis Hennepin Avenue Bus Lanes</t>
  </si>
  <si>
    <t xml:space="preserve">From: </t>
  </si>
  <si>
    <t>SANDAG Regional Plan</t>
  </si>
  <si>
    <t>ENR CCI-LA Base Reference 2023</t>
  </si>
  <si>
    <t>ENR CCI-LA (USE THIS escalation factor to inflate 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</si>
</sst>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00"/>
    <numFmt numFmtId="165" formatCode="&quot;$&quot;#,##0"/>
    <numFmt numFmtId="166" formatCode="0.000"/>
  </numFmts>
  <fonts count="9">
    <font>
      <sz val="11"/>
      <color theme="1"/>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b/>
      <sz val="11"/>
      <color theme="1"/>
      <name val="Calibri"/>
      <family val="2"/>
      <scheme val="minor"/>
    </font>
    <font>
      <sz val="8"/>
      <name val="Calibri"/>
      <family val="2"/>
      <scheme val="minor"/>
    </font>
    <font>
      <sz val="11"/>
      <name val="Calibri"/>
      <family val="2"/>
      <scheme val="minor"/>
    </font>
    <font>
      <b/>
      <sz val="11"/>
      <color rgb="FF000000"/>
      <name val="Calibri"/>
      <family val="2"/>
      <scheme val="minor"/>
    </font>
    <font>
      <sz val="14"/>
      <color theme="1"/>
      <name val="Calibri"/>
      <family val="2"/>
      <scheme val="minor"/>
    </font>
  </fonts>
  <fills count="13">
    <fill>
      <patternFill patternType="none"/>
    </fill>
    <fill>
      <patternFill patternType="gray125"/>
    </fill>
    <fill>
      <patternFill patternType="solid">
        <fgColor theme="6"/>
        <bgColor indexed="64"/>
      </patternFill>
    </fill>
    <fill>
      <patternFill patternType="solid">
        <fgColor rgb="FFD9D9D9"/>
        <bgColor rgb="FF000000"/>
      </patternFill>
    </fill>
    <fill>
      <patternFill patternType="solid">
        <fgColor theme="2"/>
        <bgColor indexed="64"/>
      </patternFill>
    </fill>
    <fill>
      <patternFill patternType="solid">
        <fgColor theme="0"/>
        <bgColor theme="0" tint="-0.14999847407452621"/>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0" tint="-4.9989318521683403E-2"/>
        <bgColor theme="0" tint="-0.14999847407452621"/>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theme="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cellStyleXfs>
  <cellXfs count="105">
    <xf numFmtId="0" fontId="0" fillId="0" borderId="0" xfId="0"/>
    <xf numFmtId="0" fontId="0" fillId="0" borderId="1" xfId="0" applyBorder="1" applyAlignment="1">
      <alignment wrapText="1"/>
    </xf>
    <xf numFmtId="0" fontId="2" fillId="0" borderId="1" xfId="2" applyBorder="1" applyAlignment="1">
      <alignment wrapText="1"/>
    </xf>
    <xf numFmtId="0" fontId="0" fillId="0" borderId="1" xfId="0" applyBorder="1"/>
    <xf numFmtId="0" fontId="2" fillId="0" borderId="0" xfId="2"/>
    <xf numFmtId="6" fontId="0" fillId="0" borderId="1" xfId="0" applyNumberFormat="1" applyBorder="1"/>
    <xf numFmtId="165" fontId="0" fillId="0" borderId="1" xfId="0" applyNumberFormat="1" applyBorder="1"/>
    <xf numFmtId="6" fontId="0" fillId="0" borderId="1" xfId="0" applyNumberFormat="1" applyBorder="1" applyAlignment="1">
      <alignment horizontal="right"/>
    </xf>
    <xf numFmtId="6" fontId="0" fillId="0" borderId="1" xfId="0" applyNumberFormat="1" applyBorder="1" applyAlignment="1">
      <alignment wrapText="1"/>
    </xf>
    <xf numFmtId="8" fontId="0" fillId="0" borderId="1" xfId="0" applyNumberFormat="1" applyBorder="1"/>
    <xf numFmtId="165" fontId="0" fillId="0" borderId="1" xfId="0" applyNumberFormat="1" applyBorder="1" applyAlignment="1">
      <alignment wrapText="1"/>
    </xf>
    <xf numFmtId="164" fontId="0" fillId="0" borderId="1" xfId="1" applyNumberFormat="1" applyFont="1" applyBorder="1"/>
    <xf numFmtId="165" fontId="0" fillId="0" borderId="1" xfId="1" applyNumberFormat="1" applyFont="1" applyBorder="1"/>
    <xf numFmtId="0" fontId="2" fillId="0" borderId="1" xfId="2" applyBorder="1"/>
    <xf numFmtId="0" fontId="0" fillId="0" borderId="0" xfId="0" applyAlignment="1">
      <alignment wrapText="1"/>
    </xf>
    <xf numFmtId="164" fontId="0" fillId="0" borderId="1" xfId="1" applyNumberFormat="1" applyFont="1" applyBorder="1" applyAlignment="1">
      <alignment wrapText="1"/>
    </xf>
    <xf numFmtId="164" fontId="0" fillId="0" borderId="0" xfId="0" applyNumberFormat="1"/>
    <xf numFmtId="0" fontId="0" fillId="0" borderId="1" xfId="0" applyBorder="1" applyAlignment="1">
      <alignment horizontal="right"/>
    </xf>
    <xf numFmtId="0" fontId="0" fillId="0" borderId="1" xfId="1" applyNumberFormat="1" applyFont="1" applyBorder="1" applyAlignment="1">
      <alignment horizontal="right"/>
    </xf>
    <xf numFmtId="0" fontId="6" fillId="0" borderId="1" xfId="2" applyFont="1" applyBorder="1"/>
    <xf numFmtId="0" fontId="0" fillId="0" borderId="2" xfId="0" applyBorder="1" applyAlignment="1">
      <alignment wrapText="1"/>
    </xf>
    <xf numFmtId="44" fontId="0" fillId="0" borderId="1" xfId="1" applyFont="1" applyBorder="1"/>
    <xf numFmtId="0" fontId="3" fillId="0" borderId="1" xfId="0" applyFont="1" applyBorder="1" applyAlignment="1">
      <alignment horizontal="center"/>
    </xf>
    <xf numFmtId="44" fontId="0" fillId="0" borderId="1" xfId="1" applyFont="1" applyBorder="1" applyAlignment="1">
      <alignment wrapText="1"/>
    </xf>
    <xf numFmtId="44" fontId="0" fillId="0" borderId="1" xfId="0" applyNumberFormat="1" applyBorder="1"/>
    <xf numFmtId="164" fontId="0" fillId="0" borderId="1" xfId="1" applyNumberFormat="1" applyFont="1" applyBorder="1" applyAlignment="1"/>
    <xf numFmtId="164" fontId="0" fillId="0" borderId="1" xfId="0" applyNumberFormat="1" applyBorder="1" applyAlignment="1">
      <alignment wrapText="1"/>
    </xf>
    <xf numFmtId="0" fontId="8" fillId="5" borderId="6" xfId="0" applyFont="1" applyFill="1" applyBorder="1"/>
    <xf numFmtId="0" fontId="0" fillId="5" borderId="6" xfId="0" applyFill="1" applyBorder="1"/>
    <xf numFmtId="0" fontId="2" fillId="5" borderId="6" xfId="2" applyFill="1" applyBorder="1"/>
    <xf numFmtId="0" fontId="8" fillId="5" borderId="6" xfId="0" applyFont="1" applyFill="1" applyBorder="1" applyAlignment="1">
      <alignment wrapText="1"/>
    </xf>
    <xf numFmtId="164" fontId="0" fillId="5" borderId="6" xfId="1" applyNumberFormat="1" applyFont="1" applyFill="1" applyBorder="1"/>
    <xf numFmtId="164" fontId="0" fillId="5" borderId="3" xfId="1" applyNumberFormat="1" applyFont="1" applyFill="1" applyBorder="1"/>
    <xf numFmtId="0" fontId="2" fillId="5" borderId="6" xfId="2" applyFill="1" applyBorder="1" applyAlignment="1">
      <alignment wrapText="1"/>
    </xf>
    <xf numFmtId="0" fontId="0" fillId="5" borderId="6" xfId="0" applyFill="1" applyBorder="1" applyAlignment="1">
      <alignment wrapText="1"/>
    </xf>
    <xf numFmtId="0" fontId="8" fillId="6" borderId="6" xfId="0" applyFont="1" applyFill="1" applyBorder="1" applyAlignment="1">
      <alignment wrapText="1"/>
    </xf>
    <xf numFmtId="0" fontId="0" fillId="6" borderId="6" xfId="0" applyFill="1" applyBorder="1"/>
    <xf numFmtId="0" fontId="0" fillId="6" borderId="6" xfId="0" applyFill="1" applyBorder="1" applyAlignment="1">
      <alignment wrapText="1"/>
    </xf>
    <xf numFmtId="164" fontId="0" fillId="6" borderId="6" xfId="1" applyNumberFormat="1" applyFont="1" applyFill="1" applyBorder="1"/>
    <xf numFmtId="164" fontId="0" fillId="6" borderId="3" xfId="1" applyNumberFormat="1" applyFont="1" applyFill="1" applyBorder="1"/>
    <xf numFmtId="0" fontId="8" fillId="6" borderId="6" xfId="0" applyFont="1" applyFill="1" applyBorder="1"/>
    <xf numFmtId="164" fontId="0" fillId="5" borderId="1" xfId="1" applyNumberFormat="1" applyFont="1" applyFill="1" applyBorder="1"/>
    <xf numFmtId="0" fontId="0" fillId="5" borderId="1" xfId="0" applyFill="1" applyBorder="1"/>
    <xf numFmtId="0" fontId="0" fillId="6" borderId="1" xfId="0" applyFill="1" applyBorder="1"/>
    <xf numFmtId="0" fontId="8" fillId="6" borderId="1" xfId="0" applyFont="1" applyFill="1" applyBorder="1" applyAlignment="1">
      <alignment wrapText="1"/>
    </xf>
    <xf numFmtId="164" fontId="0" fillId="6" borderId="1" xfId="1" applyNumberFormat="1" applyFont="1" applyFill="1" applyBorder="1"/>
    <xf numFmtId="0" fontId="4" fillId="7" borderId="1" xfId="0" applyFont="1" applyFill="1" applyBorder="1" applyAlignment="1">
      <alignment horizontal="center" vertical="center" wrapText="1"/>
    </xf>
    <xf numFmtId="0" fontId="2" fillId="5" borderId="6" xfId="2" applyFill="1" applyBorder="1" applyAlignment="1"/>
    <xf numFmtId="0" fontId="2" fillId="0" borderId="1" xfId="2" applyBorder="1" applyAlignment="1"/>
    <xf numFmtId="0" fontId="4" fillId="8" borderId="6" xfId="0" applyFont="1" applyFill="1" applyBorder="1" applyAlignment="1">
      <alignment horizontal="center"/>
    </xf>
    <xf numFmtId="0" fontId="4" fillId="8" borderId="6" xfId="0" applyFont="1" applyFill="1" applyBorder="1" applyAlignment="1">
      <alignment horizontal="center" wrapText="1"/>
    </xf>
    <xf numFmtId="0" fontId="4" fillId="8" borderId="7" xfId="0" applyFont="1" applyFill="1" applyBorder="1" applyAlignment="1">
      <alignment horizontal="center"/>
    </xf>
    <xf numFmtId="0" fontId="4" fillId="8" borderId="7" xfId="0" applyFont="1" applyFill="1" applyBorder="1" applyAlignment="1">
      <alignment horizontal="center" wrapText="1"/>
    </xf>
    <xf numFmtId="0" fontId="4" fillId="8" borderId="3" xfId="0" applyFont="1" applyFill="1" applyBorder="1" applyAlignment="1">
      <alignment horizontal="center" wrapText="1"/>
    </xf>
    <xf numFmtId="0" fontId="4" fillId="8" borderId="1" xfId="0" applyFont="1" applyFill="1" applyBorder="1" applyAlignment="1">
      <alignment horizontal="center" vertical="center" wrapText="1"/>
    </xf>
    <xf numFmtId="164" fontId="4" fillId="8" borderId="0" xfId="1" applyNumberFormat="1" applyFont="1" applyFill="1" applyAlignment="1">
      <alignment horizontal="center" vertical="center"/>
    </xf>
    <xf numFmtId="0" fontId="4" fillId="8" borderId="1" xfId="0" applyFont="1" applyFill="1" applyBorder="1" applyAlignment="1">
      <alignment wrapText="1"/>
    </xf>
    <xf numFmtId="0" fontId="4" fillId="8" borderId="1" xfId="0" applyFont="1" applyFill="1" applyBorder="1" applyAlignment="1">
      <alignment horizontal="center"/>
    </xf>
    <xf numFmtId="0" fontId="4" fillId="8" borderId="1" xfId="0" applyFont="1" applyFill="1" applyBorder="1" applyAlignment="1">
      <alignment horizontal="center" wrapText="1"/>
    </xf>
    <xf numFmtId="0" fontId="4" fillId="0" borderId="1" xfId="0" applyFont="1" applyBorder="1" applyAlignment="1">
      <alignment wrapText="1"/>
    </xf>
    <xf numFmtId="164" fontId="4" fillId="0" borderId="1" xfId="0" applyNumberFormat="1" applyFont="1" applyBorder="1" applyAlignment="1">
      <alignment wrapText="1"/>
    </xf>
    <xf numFmtId="9" fontId="4" fillId="0" borderId="1" xfId="3" applyFont="1" applyFill="1" applyBorder="1" applyAlignment="1">
      <alignment wrapText="1"/>
    </xf>
    <xf numFmtId="0" fontId="4" fillId="4" borderId="1" xfId="0" applyFont="1" applyFill="1" applyBorder="1" applyAlignment="1">
      <alignment horizontal="center" vertical="center" wrapText="1"/>
    </xf>
    <xf numFmtId="0" fontId="4" fillId="7" borderId="1" xfId="0" applyFont="1" applyFill="1" applyBorder="1" applyAlignment="1">
      <alignment wrapText="1"/>
    </xf>
    <xf numFmtId="0" fontId="0" fillId="0" borderId="9" xfId="0" applyBorder="1"/>
    <xf numFmtId="0" fontId="0" fillId="0" borderId="10" xfId="0" applyBorder="1" applyAlignment="1">
      <alignment wrapText="1"/>
    </xf>
    <xf numFmtId="0" fontId="0" fillId="0" borderId="10" xfId="0" applyBorder="1"/>
    <xf numFmtId="0" fontId="0" fillId="0" borderId="11" xfId="0" applyBorder="1" applyAlignment="1">
      <alignment wrapText="1"/>
    </xf>
    <xf numFmtId="0" fontId="0" fillId="0" borderId="12" xfId="0" applyBorder="1"/>
    <xf numFmtId="0" fontId="0" fillId="0" borderId="13" xfId="0" applyBorder="1" applyAlignment="1">
      <alignment wrapText="1"/>
    </xf>
    <xf numFmtId="0" fontId="0" fillId="0" borderId="14" xfId="0" applyBorder="1"/>
    <xf numFmtId="0" fontId="0" fillId="0" borderId="15" xfId="0" applyBorder="1" applyAlignment="1">
      <alignment wrapText="1"/>
    </xf>
    <xf numFmtId="0" fontId="0" fillId="0" borderId="15" xfId="0" applyBorder="1"/>
    <xf numFmtId="0" fontId="0" fillId="0" borderId="16" xfId="0" applyBorder="1" applyAlignment="1">
      <alignment wrapText="1"/>
    </xf>
    <xf numFmtId="0" fontId="4" fillId="0" borderId="8" xfId="0" applyFont="1" applyBorder="1" applyAlignment="1">
      <alignment horizontal="center" vertical="center" wrapText="1"/>
    </xf>
    <xf numFmtId="9" fontId="0" fillId="5" borderId="3" xfId="1" applyNumberFormat="1" applyFont="1" applyFill="1" applyBorder="1"/>
    <xf numFmtId="9" fontId="0" fillId="5" borderId="1" xfId="1" applyNumberFormat="1" applyFont="1" applyFill="1" applyBorder="1"/>
    <xf numFmtId="0" fontId="3" fillId="0" borderId="4" xfId="0" applyFont="1" applyBorder="1" applyAlignment="1">
      <alignment horizontal="center"/>
    </xf>
    <xf numFmtId="166" fontId="3" fillId="0" borderId="2" xfId="0" applyNumberFormat="1" applyFont="1" applyBorder="1" applyAlignment="1">
      <alignment horizontal="center"/>
    </xf>
    <xf numFmtId="0" fontId="7" fillId="3" borderId="17" xfId="0" applyFont="1" applyFill="1" applyBorder="1" applyAlignment="1">
      <alignment horizontal="center" vertical="center"/>
    </xf>
    <xf numFmtId="0" fontId="7" fillId="3" borderId="18" xfId="0" applyFont="1" applyFill="1" applyBorder="1" applyAlignment="1">
      <alignment horizontal="center" wrapText="1"/>
    </xf>
    <xf numFmtId="0" fontId="7" fillId="3" borderId="19" xfId="0" applyFont="1" applyFill="1" applyBorder="1" applyAlignment="1">
      <alignment horizontal="center" wrapText="1"/>
    </xf>
    <xf numFmtId="0" fontId="3" fillId="0" borderId="20" xfId="0" applyFont="1" applyBorder="1" applyAlignment="1">
      <alignment horizontal="center"/>
    </xf>
    <xf numFmtId="0" fontId="3" fillId="0" borderId="3" xfId="0" applyFont="1" applyBorder="1" applyAlignment="1">
      <alignment horizontal="center"/>
    </xf>
    <xf numFmtId="166" fontId="3" fillId="0" borderId="6" xfId="0" applyNumberFormat="1" applyFont="1" applyBorder="1" applyAlignment="1">
      <alignment horizontal="center"/>
    </xf>
    <xf numFmtId="0" fontId="3" fillId="3" borderId="4" xfId="0" applyFont="1" applyFill="1" applyBorder="1" applyAlignment="1">
      <alignment horizontal="center"/>
    </xf>
    <xf numFmtId="0" fontId="3" fillId="3" borderId="1" xfId="0" applyFont="1" applyFill="1" applyBorder="1" applyAlignment="1">
      <alignment horizontal="center"/>
    </xf>
    <xf numFmtId="9" fontId="0" fillId="5" borderId="3" xfId="3" applyFont="1" applyFill="1" applyBorder="1"/>
    <xf numFmtId="0" fontId="0" fillId="5" borderId="3" xfId="1" applyNumberFormat="1" applyFont="1" applyFill="1" applyBorder="1"/>
    <xf numFmtId="0" fontId="0" fillId="5" borderId="1" xfId="1" applyNumberFormat="1" applyFont="1" applyFill="1" applyBorder="1"/>
    <xf numFmtId="0" fontId="7" fillId="3" borderId="1" xfId="0" applyFont="1" applyFill="1" applyBorder="1" applyAlignment="1">
      <alignment horizontal="center" vertical="center"/>
    </xf>
    <xf numFmtId="9" fontId="3" fillId="10" borderId="1" xfId="3" applyFont="1" applyFill="1" applyBorder="1" applyAlignment="1">
      <alignment horizontal="center"/>
    </xf>
    <xf numFmtId="9" fontId="3" fillId="11" borderId="1" xfId="3" applyFont="1" applyFill="1" applyBorder="1" applyAlignment="1">
      <alignment horizontal="center"/>
    </xf>
    <xf numFmtId="9" fontId="3" fillId="12" borderId="1" xfId="3" applyFont="1" applyFill="1" applyBorder="1" applyAlignment="1">
      <alignment horizontal="center"/>
    </xf>
    <xf numFmtId="0" fontId="2" fillId="5" borderId="2" xfId="2" applyFill="1" applyBorder="1"/>
    <xf numFmtId="0" fontId="0" fillId="0" borderId="0" xfId="0" applyAlignment="1">
      <alignment horizontal="center"/>
    </xf>
    <xf numFmtId="0" fontId="0" fillId="8" borderId="5" xfId="0" applyFill="1" applyBorder="1" applyAlignment="1">
      <alignment horizontal="center"/>
    </xf>
    <xf numFmtId="0" fontId="0" fillId="9" borderId="0" xfId="0" applyFill="1" applyAlignment="1">
      <alignment horizontal="center" wrapText="1"/>
    </xf>
    <xf numFmtId="0" fontId="0" fillId="8" borderId="1" xfId="0" applyFill="1" applyBorder="1" applyAlignment="1">
      <alignment horizontal="center"/>
    </xf>
    <xf numFmtId="0" fontId="0" fillId="0" borderId="0" xfId="0" applyAlignment="1">
      <alignment horizontal="center"/>
    </xf>
    <xf numFmtId="0" fontId="0" fillId="8" borderId="2" xfId="0" applyFill="1" applyBorder="1" applyAlignment="1">
      <alignment horizontal="center"/>
    </xf>
    <xf numFmtId="0" fontId="0" fillId="8" borderId="5" xfId="0" applyFill="1" applyBorder="1" applyAlignment="1">
      <alignment horizontal="center"/>
    </xf>
    <xf numFmtId="0" fontId="0" fillId="8" borderId="4" xfId="0" applyFill="1" applyBorder="1" applyAlignment="1">
      <alignment horizontal="center"/>
    </xf>
    <xf numFmtId="0" fontId="0" fillId="2" borderId="1" xfId="0" applyFill="1" applyBorder="1" applyAlignment="1">
      <alignment horizontal="center"/>
    </xf>
    <xf numFmtId="0" fontId="0" fillId="2" borderId="3" xfId="0" applyFill="1" applyBorder="1" applyAlignment="1">
      <alignment horizontal="center"/>
    </xf>
  </cellXfs>
  <cellStyles count="4">
    <cellStyle name="Currency" xfId="1" builtinId="4"/>
    <cellStyle name="Hyperlink" xfId="2" builtinId="8"/>
    <cellStyle name="Normal" xfId="0" builtinId="0"/>
    <cellStyle name="Percent" xfId="3" builtinId="5"/>
  </cellStyles>
  <dxfs count="20">
    <dxf>
      <font>
        <b val="0"/>
        <i val="0"/>
        <strike val="0"/>
        <condense val="0"/>
        <extend val="0"/>
        <outline val="0"/>
        <shadow val="0"/>
        <u val="none"/>
        <vertAlign val="baseline"/>
        <sz val="11"/>
        <color rgb="FF000000"/>
        <name val="Calibri"/>
        <family val="2"/>
        <scheme val="minor"/>
      </font>
      <numFmt numFmtId="166" formatCode="0.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945316-1107-465B-93BD-BA20A1D25E89}" name="Table1" displayName="Table1" ref="B2:D28" totalsRowShown="0" headerRowBorderDxfId="4" tableBorderDxfId="5" totalsRowBorderDxfId="3">
  <autoFilter ref="B2:D28" xr:uid="{A3945316-1107-465B-93BD-BA20A1D25E89}"/>
  <sortState xmlns:xlrd2="http://schemas.microsoft.com/office/spreadsheetml/2017/richdata2" ref="B3:D28">
    <sortCondition descending="1" ref="B2:B28"/>
  </sortState>
  <tableColumns count="3">
    <tableColumn id="1" xr3:uid="{FAA96EE3-2318-4545-AAE0-FF4F3F587EA3}" name="Year" dataDxfId="2"/>
    <tableColumn id="2" xr3:uid="{58AF7490-F9BE-495A-935B-2CA35965D57E}" name="ENR CCI-LA Base Reference 2023" dataDxfId="1"/>
    <tableColumn id="3" xr3:uid="{2321F87C-9CDE-4143-BBA9-EEC120F7EF4B}" name="ENR CCI-LA (USE THIS escalation factor to inflate to 2024$)" dataDxfId="0">
      <calculatedColumnFormula>C3*1.042</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zicla.com/en/vectorial/" TargetMode="External"/><Relationship Id="rId1" Type="http://schemas.openxmlformats.org/officeDocument/2006/relationships/hyperlink" Target="https://www.zicla.com/en/vectoria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v08data.dot.ca.gov/contractcost/" TargetMode="External"/><Relationship Id="rId3" Type="http://schemas.openxmlformats.org/officeDocument/2006/relationships/hyperlink" Target="https://www.sandag.org/projects-and-programs/bikeways-and-walkways/bikeway-and-walkway-projects/imperial-avenue-bikeway" TargetMode="External"/><Relationship Id="rId7" Type="http://schemas.openxmlformats.org/officeDocument/2006/relationships/hyperlink" Target="https://sv08data.dot.ca.gov/contractcost/" TargetMode="External"/><Relationship Id="rId2" Type="http://schemas.openxmlformats.org/officeDocument/2006/relationships/hyperlink" Target="https://www.zicla.com/en/vectorial/" TargetMode="External"/><Relationship Id="rId1" Type="http://schemas.openxmlformats.org/officeDocument/2006/relationships/hyperlink" Target="https://www.keepsandiegomoving.com/Mid-coast/midcoast-intro.aspx" TargetMode="External"/><Relationship Id="rId6" Type="http://schemas.openxmlformats.org/officeDocument/2006/relationships/hyperlink" Target="https://sv08data.dot.ca.gov/contractcost/" TargetMode="External"/><Relationship Id="rId11" Type="http://schemas.openxmlformats.org/officeDocument/2006/relationships/printerSettings" Target="../printerSettings/printerSettings2.bin"/><Relationship Id="rId5" Type="http://schemas.openxmlformats.org/officeDocument/2006/relationships/hyperlink" Target="https://sv08data.dot.ca.gov/contractcost/" TargetMode="External"/><Relationship Id="rId10" Type="http://schemas.openxmlformats.org/officeDocument/2006/relationships/hyperlink" Target="https://www.sandag.org/projects-and-programs/bikeways-and-walkways/bikeway-and-walkway-projects/imperial-avenue-bikeway" TargetMode="External"/><Relationship Id="rId4" Type="http://schemas.openxmlformats.org/officeDocument/2006/relationships/hyperlink" Target="https://sv08data.dot.ca.gov/contractcost/" TargetMode="External"/><Relationship Id="rId9" Type="http://schemas.openxmlformats.org/officeDocument/2006/relationships/hyperlink" Target="https://sv08data.dot.ca.gov/contractcost/"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asyrecreation.com/easy-bus-cube/" TargetMode="External"/><Relationship Id="rId2" Type="http://schemas.openxmlformats.org/officeDocument/2006/relationships/hyperlink" Target="https://easyrecreation.com/easy-bus-cube/" TargetMode="External"/><Relationship Id="rId1" Type="http://schemas.openxmlformats.org/officeDocument/2006/relationships/hyperlink" Target="https://simmeseat.co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sv08data.dot.ca.gov/contractcost/" TargetMode="External"/><Relationship Id="rId3" Type="http://schemas.openxmlformats.org/officeDocument/2006/relationships/hyperlink" Target="https://www.usreflector.com/product-category/pedestrian-refuge/" TargetMode="External"/><Relationship Id="rId7" Type="http://schemas.openxmlformats.org/officeDocument/2006/relationships/hyperlink" Target="https://sv08data.dot.ca.gov/contractcost/" TargetMode="External"/><Relationship Id="rId2" Type="http://schemas.openxmlformats.org/officeDocument/2006/relationships/hyperlink" Target="https://pppcatalog.com/product/modular-median/" TargetMode="External"/><Relationship Id="rId1" Type="http://schemas.openxmlformats.org/officeDocument/2006/relationships/hyperlink" Target="https://www.usreflector.com/product-category/pedestrian-refuge/" TargetMode="External"/><Relationship Id="rId6" Type="http://schemas.openxmlformats.org/officeDocument/2006/relationships/hyperlink" Target="https://sv08data.dot.ca.gov/contractcost/" TargetMode="External"/><Relationship Id="rId5" Type="http://schemas.openxmlformats.org/officeDocument/2006/relationships/hyperlink" Target="https://sv08data.dot.ca.gov/contractcost/" TargetMode="External"/><Relationship Id="rId4" Type="http://schemas.openxmlformats.org/officeDocument/2006/relationships/hyperlink" Target="https://www.usreflector.com/product-category/pedestrian-refug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selsled.com/products/transit-pole-solar-light" TargetMode="External"/><Relationship Id="rId2" Type="http://schemas.openxmlformats.org/officeDocument/2006/relationships/hyperlink" Target="https://www.solarilluminations.com/bk10-solar-bus-stop-light?srsltid=AfmBOor5SFEEAbqczvroywih11NM_NRjwOkuC-4qQfMx9HmNVhaX9-JR" TargetMode="External"/><Relationship Id="rId1" Type="http://schemas.openxmlformats.org/officeDocument/2006/relationships/hyperlink" Target="https://www.sepco-solarlighting.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sandag.org/-/media/SANDAG/Documents/PDF/projects-and-programs/innovative-mobility/transportation-technology/technology-planning-pilots/improving-bus-operations-and-traffic-2017-01-01.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metrotransit.org/hennepin-bus-lanes" TargetMode="External"/><Relationship Id="rId3" Type="http://schemas.openxmlformats.org/officeDocument/2006/relationships/hyperlink" Target="https://www.mwcog.org/assets/1/28/10062017_-_Item_12_-_DO_NOT_PRINT_-_Bus_Lane_Enforcement_Study_Final_Report.pdf" TargetMode="External"/><Relationship Id="rId7" Type="http://schemas.openxmlformats.org/officeDocument/2006/relationships/hyperlink" Target="https://everettindependent.com/2018/06/01/everetts-bus-only-lane-hailed-as-a-model/" TargetMode="External"/><Relationship Id="rId2" Type="http://schemas.openxmlformats.org/officeDocument/2006/relationships/hyperlink" Target="https://cob.org/wp-content/uploads/appendix-d-cost-calculator.pdf" TargetMode="External"/><Relationship Id="rId1" Type="http://schemas.openxmlformats.org/officeDocument/2006/relationships/hyperlink" Target="https://www.sandiego.gov/sites/default/files/20190508_pilotprogrambusonlylaneelcajonblvd.pdf" TargetMode="External"/><Relationship Id="rId6" Type="http://schemas.openxmlformats.org/officeDocument/2006/relationships/hyperlink" Target="https://www.berkeleyside.org/2017/08/16/new-bike-bus-lanes-coming-bancroft-way-berkeley" TargetMode="External"/><Relationship Id="rId5" Type="http://schemas.openxmlformats.org/officeDocument/2006/relationships/hyperlink" Target="https://nap.nationalacademies.org/read/13614/chapter/8" TargetMode="External"/><Relationship Id="rId4" Type="http://schemas.openxmlformats.org/officeDocument/2006/relationships/hyperlink" Target="https://bikeportland.org/2019/11/26/portlands-cheap-and-easy-bus-lane-projects-are-working-quite-well-308032" TargetMode="Externa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E211E-E6D2-4FA3-B65F-52D01A1C225C}">
  <sheetPr>
    <tabColor theme="9" tint="0.79998168889431442"/>
  </sheetPr>
  <dimension ref="A3:U43"/>
  <sheetViews>
    <sheetView zoomScale="85" zoomScaleNormal="85" workbookViewId="0">
      <selection activeCell="A31" sqref="A31"/>
    </sheetView>
  </sheetViews>
  <sheetFormatPr defaultRowHeight="14.45"/>
  <cols>
    <col min="1" max="1" width="79.140625" customWidth="1"/>
    <col min="2" max="2" width="15.85546875" customWidth="1"/>
    <col min="3" max="3" width="27.5703125" style="14" customWidth="1"/>
    <col min="4" max="4" width="3.28515625" customWidth="1"/>
    <col min="5" max="5" width="15.85546875" style="14" customWidth="1"/>
    <col min="6" max="6" width="2.85546875" customWidth="1"/>
    <col min="7" max="8" width="12.42578125" style="14" customWidth="1"/>
    <col min="9" max="9" width="25.140625" style="14" customWidth="1"/>
    <col min="10" max="11" width="12.42578125" style="14" customWidth="1"/>
    <col min="12" max="12" width="13" style="14" customWidth="1"/>
    <col min="13" max="20" width="12.42578125" style="14" customWidth="1"/>
    <col min="21" max="21" width="12" style="14" customWidth="1"/>
    <col min="22" max="22" width="2.5703125" customWidth="1"/>
  </cols>
  <sheetData>
    <row r="3" spans="1:10" ht="54" customHeight="1">
      <c r="A3" s="97" t="s">
        <v>0</v>
      </c>
      <c r="B3" s="95"/>
      <c r="C3" s="56" t="s">
        <v>1</v>
      </c>
      <c r="E3" s="56" t="s">
        <v>2</v>
      </c>
      <c r="G3" s="56" t="s">
        <v>3</v>
      </c>
      <c r="H3" s="56" t="s">
        <v>4</v>
      </c>
    </row>
    <row r="4" spans="1:10">
      <c r="A4" s="97"/>
      <c r="B4" s="95"/>
      <c r="C4" s="1" t="s">
        <v>5</v>
      </c>
      <c r="E4" s="26">
        <f>'Common Treatments'!Q21</f>
        <v>0</v>
      </c>
      <c r="G4" s="26">
        <f>'Common Treatments'!S21</f>
        <v>0</v>
      </c>
      <c r="H4" s="26">
        <f>'Common Treatments'!U21</f>
        <v>0</v>
      </c>
    </row>
    <row r="5" spans="1:10">
      <c r="A5" s="97"/>
      <c r="B5" s="95"/>
      <c r="C5" s="1" t="s">
        <v>6</v>
      </c>
      <c r="E5" s="26">
        <f>'Bus Platforms'!Q24</f>
        <v>0</v>
      </c>
      <c r="G5" s="26">
        <f>'Bus Platforms'!X24</f>
        <v>0</v>
      </c>
      <c r="H5" s="26">
        <f>'Bus Platforms'!Z24</f>
        <v>0</v>
      </c>
    </row>
    <row r="6" spans="1:10">
      <c r="A6" s="97"/>
      <c r="B6" s="95"/>
      <c r="C6" s="1" t="s">
        <v>7</v>
      </c>
      <c r="E6" s="26">
        <f>' Seating'!Q24</f>
        <v>0</v>
      </c>
      <c r="G6" s="26">
        <f>' Seating'!AD24</f>
        <v>0</v>
      </c>
      <c r="H6" s="26">
        <f>' Seating'!AF24</f>
        <v>0</v>
      </c>
    </row>
    <row r="7" spans="1:10">
      <c r="A7" s="97"/>
      <c r="B7" s="95"/>
      <c r="C7" s="1" t="s">
        <v>8</v>
      </c>
      <c r="E7" s="26">
        <f>'Ped. Improvements'!Q22</f>
        <v>0</v>
      </c>
      <c r="G7" s="26">
        <f>'Ped. Improvements'!AD22</f>
        <v>0</v>
      </c>
      <c r="H7" s="26">
        <f>'Ped. Improvements'!AF22</f>
        <v>0</v>
      </c>
    </row>
    <row r="8" spans="1:10">
      <c r="A8" s="97"/>
      <c r="B8" s="95"/>
      <c r="C8" s="1" t="s">
        <v>9</v>
      </c>
      <c r="E8" s="26">
        <f>Lighting!Q24</f>
        <v>0</v>
      </c>
      <c r="G8" s="26">
        <f>Lighting!AD24</f>
        <v>0</v>
      </c>
      <c r="H8" s="26">
        <f>Lighting!AF24</f>
        <v>0</v>
      </c>
    </row>
    <row r="9" spans="1:10" ht="27" customHeight="1">
      <c r="A9" s="97"/>
      <c r="B9" s="95"/>
      <c r="C9" s="1" t="s">
        <v>10</v>
      </c>
      <c r="E9" s="26">
        <f>'TSP and Queue Jump'!K9</f>
        <v>0</v>
      </c>
      <c r="G9" s="26">
        <f>'TSP and Queue Jump'!M9</f>
        <v>0</v>
      </c>
      <c r="H9" s="1" t="s">
        <v>11</v>
      </c>
      <c r="I9" s="14" t="s">
        <v>12</v>
      </c>
    </row>
    <row r="10" spans="1:10">
      <c r="B10" s="95"/>
    </row>
    <row r="11" spans="1:10" ht="14.45" customHeight="1">
      <c r="B11" s="95"/>
      <c r="C11" s="59" t="s">
        <v>13</v>
      </c>
      <c r="E11" s="60">
        <f>SUM(E4:E9)</f>
        <v>0</v>
      </c>
      <c r="F11" s="16"/>
      <c r="G11" s="60">
        <f>SUM(G4:G9)</f>
        <v>0</v>
      </c>
      <c r="H11" s="60">
        <f>SUM(H4:H8)</f>
        <v>0</v>
      </c>
    </row>
    <row r="13" spans="1:10">
      <c r="C13" s="63" t="s">
        <v>14</v>
      </c>
      <c r="E13" s="61">
        <v>0.4</v>
      </c>
      <c r="F13" s="16"/>
      <c r="G13"/>
      <c r="H13"/>
    </row>
    <row r="14" spans="1:10" ht="15" thickBot="1"/>
    <row r="15" spans="1:10" ht="12" customHeight="1" thickBot="1">
      <c r="D15" s="64"/>
      <c r="E15" s="65"/>
      <c r="F15" s="66"/>
      <c r="G15" s="65"/>
      <c r="H15" s="65"/>
      <c r="I15" s="65"/>
      <c r="J15" s="67"/>
    </row>
    <row r="16" spans="1:10" ht="50.45" customHeight="1" thickBot="1">
      <c r="C16" s="74" t="s">
        <v>15</v>
      </c>
      <c r="D16" s="68"/>
      <c r="E16" s="62" t="s">
        <v>2</v>
      </c>
      <c r="G16" s="62" t="s">
        <v>3</v>
      </c>
      <c r="H16" s="62" t="s">
        <v>4</v>
      </c>
      <c r="I16" s="62" t="s">
        <v>16</v>
      </c>
      <c r="J16" s="69"/>
    </row>
    <row r="17" spans="3:10" ht="18.600000000000001" customHeight="1">
      <c r="C17"/>
      <c r="D17" s="68"/>
      <c r="E17" s="60">
        <f>(E11*$E$13)+E11</f>
        <v>0</v>
      </c>
      <c r="F17" s="16"/>
      <c r="G17" s="60">
        <f>(G11*$E$13)+G11</f>
        <v>0</v>
      </c>
      <c r="H17" s="60">
        <f>(H11*$E$13)+H11</f>
        <v>0</v>
      </c>
      <c r="I17" s="1">
        <v>2025</v>
      </c>
      <c r="J17" s="69"/>
    </row>
    <row r="18" spans="3:10" ht="15" thickBot="1">
      <c r="D18" s="70"/>
      <c r="E18" s="71"/>
      <c r="F18" s="72"/>
      <c r="G18" s="71"/>
      <c r="H18" s="71"/>
      <c r="I18" s="71"/>
      <c r="J18" s="73"/>
    </row>
    <row r="20" spans="3:10" ht="30.6" customHeight="1"/>
    <row r="21" spans="3:10" ht="29.1" customHeight="1"/>
    <row r="22" spans="3:10" ht="29.1" customHeight="1"/>
    <row r="23" spans="3:10" ht="29.1" customHeight="1"/>
    <row r="24" spans="3:10" ht="29.1" customHeight="1"/>
    <row r="25" spans="3:10" ht="29.1" customHeight="1"/>
    <row r="26" spans="3:10" ht="29.1" customHeight="1"/>
    <row r="27" spans="3:10" ht="29.1" customHeight="1"/>
    <row r="28" spans="3:10" ht="29.1" customHeight="1"/>
    <row r="29" spans="3:10" ht="29.1" customHeight="1"/>
    <row r="36" spans="7:21">
      <c r="G36"/>
      <c r="H36"/>
      <c r="I36"/>
      <c r="J36"/>
      <c r="K36"/>
      <c r="L36"/>
      <c r="M36"/>
      <c r="N36"/>
      <c r="O36"/>
      <c r="P36"/>
      <c r="Q36"/>
      <c r="R36"/>
      <c r="S36"/>
      <c r="T36"/>
      <c r="U36"/>
    </row>
    <row r="37" spans="7:21" ht="32.450000000000003" customHeight="1">
      <c r="G37"/>
      <c r="H37"/>
      <c r="I37"/>
      <c r="J37"/>
      <c r="K37"/>
      <c r="L37"/>
      <c r="M37"/>
      <c r="N37"/>
      <c r="O37"/>
      <c r="P37"/>
      <c r="Q37"/>
      <c r="R37"/>
      <c r="S37"/>
      <c r="T37"/>
      <c r="U37"/>
    </row>
    <row r="38" spans="7:21">
      <c r="G38"/>
      <c r="H38"/>
      <c r="I38"/>
      <c r="J38"/>
      <c r="K38"/>
      <c r="L38"/>
      <c r="M38"/>
      <c r="N38"/>
      <c r="O38"/>
      <c r="P38"/>
      <c r="Q38"/>
      <c r="R38"/>
      <c r="S38"/>
      <c r="T38"/>
      <c r="U38"/>
    </row>
    <row r="39" spans="7:21">
      <c r="G39"/>
      <c r="H39"/>
      <c r="I39"/>
      <c r="J39"/>
      <c r="K39"/>
      <c r="L39"/>
      <c r="M39"/>
      <c r="N39"/>
      <c r="O39"/>
      <c r="P39"/>
      <c r="Q39"/>
      <c r="R39"/>
      <c r="S39"/>
      <c r="T39"/>
      <c r="U39"/>
    </row>
    <row r="40" spans="7:21">
      <c r="G40"/>
      <c r="H40"/>
      <c r="I40"/>
      <c r="J40"/>
      <c r="K40"/>
      <c r="L40"/>
      <c r="M40"/>
      <c r="N40"/>
      <c r="O40"/>
      <c r="P40"/>
      <c r="Q40"/>
      <c r="R40"/>
      <c r="S40"/>
      <c r="T40"/>
      <c r="U40"/>
    </row>
    <row r="41" spans="7:21">
      <c r="G41"/>
      <c r="H41"/>
      <c r="I41"/>
      <c r="J41"/>
      <c r="K41"/>
      <c r="L41"/>
      <c r="M41"/>
      <c r="N41"/>
      <c r="O41"/>
      <c r="P41"/>
      <c r="Q41"/>
      <c r="R41"/>
      <c r="S41"/>
      <c r="T41"/>
      <c r="U41"/>
    </row>
    <row r="42" spans="7:21">
      <c r="G42"/>
      <c r="H42"/>
      <c r="I42"/>
      <c r="J42"/>
      <c r="K42"/>
      <c r="L42"/>
      <c r="M42"/>
      <c r="N42"/>
      <c r="O42"/>
      <c r="P42"/>
      <c r="Q42"/>
      <c r="R42"/>
      <c r="S42"/>
      <c r="T42"/>
      <c r="U42"/>
    </row>
    <row r="43" spans="7:21">
      <c r="G43"/>
      <c r="H43"/>
      <c r="I43"/>
      <c r="J43"/>
      <c r="K43"/>
      <c r="L43"/>
      <c r="M43"/>
      <c r="N43"/>
      <c r="O43"/>
      <c r="P43"/>
      <c r="Q43"/>
      <c r="R43"/>
      <c r="S43"/>
      <c r="T43"/>
      <c r="U43"/>
    </row>
  </sheetData>
  <mergeCells count="1">
    <mergeCell ref="A3:A9"/>
  </mergeCells>
  <conditionalFormatting sqref="C4:C9 E4:E9 G4:H9">
    <cfRule type="expression" dxfId="19" priority="1">
      <formula>MOD(ROW(),2)=0</formula>
    </cfRule>
  </conditionalFormatting>
  <pageMargins left="0.7" right="0.7" top="0.75" bottom="0.75" header="0.3" footer="0.3"/>
  <pageSetup orientation="portrait" horizontalDpi="360" verticalDpi="360" r:id="rId1"/>
  <extLst>
    <ext xmlns:x14="http://schemas.microsoft.com/office/spreadsheetml/2009/9/main" uri="{CCE6A557-97BC-4b89-ADB6-D9C93CAAB3DF}">
      <x14:dataValidations xmlns:xm="http://schemas.microsoft.com/office/excel/2006/main" count="1">
        <x14:dataValidation type="list" allowBlank="1" showInputMessage="1" showErrorMessage="1" xr:uid="{A3E001D7-241C-40F5-A52F-555272A5A938}">
          <x14:formula1>
            <xm:f>'Inflation Factor and Modifiers'!#REF!</xm:f>
          </x14:formula1>
          <xm:sqref>E13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17881-6FDD-4DF1-8B95-5A6A48FB25A2}">
  <dimension ref="A1:U22"/>
  <sheetViews>
    <sheetView zoomScale="73" zoomScaleNormal="85" workbookViewId="0">
      <pane xSplit="1" topLeftCell="B1" activePane="topRight" state="frozen"/>
      <selection pane="topRight" activeCell="Q4" sqref="Q4"/>
    </sheetView>
  </sheetViews>
  <sheetFormatPr defaultRowHeight="14.45"/>
  <cols>
    <col min="1" max="1" width="35.85546875" customWidth="1"/>
    <col min="2" max="2" width="13.28515625" customWidth="1"/>
    <col min="3" max="3" width="20.5703125" customWidth="1"/>
    <col min="4" max="4" width="14.5703125" customWidth="1"/>
    <col min="5" max="5" width="13.42578125" customWidth="1"/>
    <col min="6" max="6" width="5.85546875" customWidth="1"/>
    <col min="7" max="7" width="12.140625" customWidth="1"/>
    <col min="8" max="8" width="17.85546875" customWidth="1"/>
    <col min="9" max="9" width="16.140625" customWidth="1"/>
    <col min="10" max="10" width="10.42578125" customWidth="1"/>
    <col min="11" max="11" width="11" customWidth="1"/>
    <col min="12" max="12" width="13.42578125" customWidth="1"/>
    <col min="13" max="13" width="12.85546875" customWidth="1"/>
    <col min="14" max="14" width="5.140625" customWidth="1"/>
    <col min="15" max="15" width="11.5703125" customWidth="1"/>
    <col min="16" max="16" width="4" customWidth="1"/>
    <col min="17" max="17" width="15.7109375" customWidth="1"/>
    <col min="18" max="18" width="4" customWidth="1"/>
    <col min="19" max="19" width="17" customWidth="1"/>
    <col min="20" max="20" width="4.140625" customWidth="1"/>
    <col min="21" max="21" width="17.42578125" customWidth="1"/>
  </cols>
  <sheetData>
    <row r="1" spans="1:21">
      <c r="C1" s="99"/>
      <c r="D1" s="99"/>
      <c r="E1" s="99"/>
      <c r="O1" s="98" t="s">
        <v>17</v>
      </c>
      <c r="P1" s="98"/>
      <c r="Q1" s="98"/>
      <c r="S1" s="98" t="s">
        <v>18</v>
      </c>
      <c r="T1" s="98"/>
      <c r="U1" s="98"/>
    </row>
    <row r="3" spans="1:21" ht="47.1" customHeight="1">
      <c r="A3" s="49" t="s">
        <v>19</v>
      </c>
      <c r="B3" s="50" t="s">
        <v>20</v>
      </c>
      <c r="C3" s="49" t="s">
        <v>21</v>
      </c>
      <c r="D3" s="49" t="s">
        <v>22</v>
      </c>
      <c r="E3" s="49" t="s">
        <v>16</v>
      </c>
      <c r="F3" s="51" t="s">
        <v>23</v>
      </c>
      <c r="G3" s="50" t="s">
        <v>24</v>
      </c>
      <c r="H3" s="50" t="s">
        <v>25</v>
      </c>
      <c r="I3" s="50" t="s">
        <v>26</v>
      </c>
      <c r="J3" s="50" t="s">
        <v>27</v>
      </c>
      <c r="K3" s="52" t="s">
        <v>28</v>
      </c>
      <c r="L3" s="50" t="s">
        <v>29</v>
      </c>
      <c r="M3" s="53" t="s">
        <v>30</v>
      </c>
      <c r="O3" s="46" t="s">
        <v>31</v>
      </c>
      <c r="Q3" s="54" t="s">
        <v>32</v>
      </c>
      <c r="S3" s="54" t="s">
        <v>3</v>
      </c>
      <c r="U3" s="54" t="s">
        <v>4</v>
      </c>
    </row>
    <row r="4" spans="1:21" ht="21" customHeight="1">
      <c r="A4" s="1" t="s">
        <v>33</v>
      </c>
      <c r="B4" s="1" t="s">
        <v>34</v>
      </c>
      <c r="C4" s="28" t="s">
        <v>35</v>
      </c>
      <c r="D4" s="33" t="s">
        <v>36</v>
      </c>
      <c r="E4" s="19">
        <v>2025</v>
      </c>
      <c r="F4" s="19" t="s">
        <v>37</v>
      </c>
      <c r="G4" s="11">
        <v>22844</v>
      </c>
      <c r="H4" s="75">
        <v>0.2</v>
      </c>
      <c r="I4" s="32">
        <f>(G4*(_xlfn.XLOOKUP(E4, Table1[Year], Table1[ENR CCI-LA (USE THIS escalation factor to inflate to 2024$)])))*(1+H4)</f>
        <v>27412.799999999999</v>
      </c>
      <c r="J4" s="3">
        <v>10</v>
      </c>
      <c r="K4" s="3">
        <v>15</v>
      </c>
      <c r="L4" s="6">
        <f>(G4+I4)/K4</f>
        <v>3350.4533333333334</v>
      </c>
      <c r="M4" s="6">
        <f>(G4+I4)/J4</f>
        <v>5025.68</v>
      </c>
      <c r="O4" s="42"/>
      <c r="Q4" s="32">
        <f>O4*I4</f>
        <v>0</v>
      </c>
      <c r="S4" s="32">
        <f>$O4*($L4)</f>
        <v>0</v>
      </c>
      <c r="U4" s="32">
        <f>$O4*($M4)</f>
        <v>0</v>
      </c>
    </row>
    <row r="5" spans="1:21" ht="21" customHeight="1">
      <c r="A5" s="1" t="s">
        <v>38</v>
      </c>
      <c r="B5" s="1" t="s">
        <v>34</v>
      </c>
      <c r="C5" s="3" t="s">
        <v>35</v>
      </c>
      <c r="D5" s="33" t="s">
        <v>36</v>
      </c>
      <c r="E5" s="19">
        <v>2025</v>
      </c>
      <c r="F5" s="19" t="s">
        <v>37</v>
      </c>
      <c r="G5" s="11">
        <v>26684</v>
      </c>
      <c r="H5" s="75">
        <v>0.2</v>
      </c>
      <c r="I5" s="32">
        <f>(G5*(_xlfn.XLOOKUP(E5, Table1[Year], Table1[ENR CCI-LA (USE THIS escalation factor to inflate to 2024$)])))*(1+H5)</f>
        <v>32020.799999999999</v>
      </c>
      <c r="J5" s="3">
        <v>10</v>
      </c>
      <c r="K5" s="3">
        <v>15</v>
      </c>
      <c r="L5" s="6">
        <f t="shared" ref="L5:L7" si="0">(G5+I5)/K5</f>
        <v>3913.6533333333336</v>
      </c>
      <c r="M5" s="6">
        <f t="shared" ref="M5:M7" si="1">(G5+I5)/J5</f>
        <v>5870.4800000000005</v>
      </c>
      <c r="O5" s="42"/>
      <c r="Q5" s="32">
        <f t="shared" ref="Q5:Q20" si="2">O5*I5</f>
        <v>0</v>
      </c>
      <c r="S5" s="32">
        <f t="shared" ref="S5:S20" si="3">$O5*($L5)</f>
        <v>0</v>
      </c>
      <c r="U5" s="32">
        <f t="shared" ref="U5:U20" si="4">$O5*($M5)</f>
        <v>0</v>
      </c>
    </row>
    <row r="6" spans="1:21" ht="21" customHeight="1">
      <c r="A6" s="1" t="s">
        <v>39</v>
      </c>
      <c r="B6" s="1" t="s">
        <v>34</v>
      </c>
      <c r="C6" s="28" t="s">
        <v>35</v>
      </c>
      <c r="D6" s="33" t="s">
        <v>36</v>
      </c>
      <c r="E6" s="19">
        <v>2025</v>
      </c>
      <c r="F6" s="19" t="s">
        <v>37</v>
      </c>
      <c r="G6" s="11">
        <v>34972</v>
      </c>
      <c r="H6" s="75">
        <v>0.2</v>
      </c>
      <c r="I6" s="32">
        <f>(G6*(_xlfn.XLOOKUP(E6, Table1[Year], Table1[ENR CCI-LA (USE THIS escalation factor to inflate to 2024$)])))*(1+H6)</f>
        <v>41966.400000000001</v>
      </c>
      <c r="J6" s="3">
        <v>10</v>
      </c>
      <c r="K6" s="3">
        <v>15</v>
      </c>
      <c r="L6" s="6">
        <f t="shared" si="0"/>
        <v>5129.2266666666665</v>
      </c>
      <c r="M6" s="6">
        <f t="shared" si="1"/>
        <v>7693.8399999999992</v>
      </c>
      <c r="O6" s="42"/>
      <c r="Q6" s="32">
        <f t="shared" si="2"/>
        <v>0</v>
      </c>
      <c r="S6" s="32">
        <f t="shared" si="3"/>
        <v>0</v>
      </c>
      <c r="U6" s="32">
        <f t="shared" si="4"/>
        <v>0</v>
      </c>
    </row>
    <row r="7" spans="1:21" ht="29.45" customHeight="1">
      <c r="A7" s="1" t="s">
        <v>40</v>
      </c>
      <c r="B7" s="1" t="s">
        <v>34</v>
      </c>
      <c r="C7" s="3" t="s">
        <v>35</v>
      </c>
      <c r="D7" s="33" t="s">
        <v>36</v>
      </c>
      <c r="E7" s="19">
        <v>2025</v>
      </c>
      <c r="F7" s="19" t="s">
        <v>37</v>
      </c>
      <c r="G7" s="11">
        <v>34615</v>
      </c>
      <c r="H7" s="76">
        <v>0.2</v>
      </c>
      <c r="I7" s="41">
        <f>(G7*(_xlfn.XLOOKUP(E7, Table1[Year], Table1[ENR CCI-LA (USE THIS escalation factor to inflate to 2024$)])))*(1+H7)</f>
        <v>41538</v>
      </c>
      <c r="J7" s="3">
        <v>10</v>
      </c>
      <c r="K7" s="3">
        <v>15</v>
      </c>
      <c r="L7" s="6">
        <f t="shared" si="0"/>
        <v>5076.8666666666668</v>
      </c>
      <c r="M7" s="6">
        <f t="shared" si="1"/>
        <v>7615.3</v>
      </c>
      <c r="O7" s="42"/>
      <c r="Q7" s="32">
        <f t="shared" si="2"/>
        <v>0</v>
      </c>
      <c r="S7" s="32">
        <f t="shared" si="3"/>
        <v>0</v>
      </c>
      <c r="U7" s="32">
        <f t="shared" si="4"/>
        <v>0</v>
      </c>
    </row>
    <row r="8" spans="1:21">
      <c r="G8" s="16"/>
      <c r="I8" s="16"/>
      <c r="J8" s="16"/>
      <c r="K8" s="16"/>
      <c r="L8" s="16"/>
      <c r="M8" s="16"/>
      <c r="O8" s="42"/>
      <c r="Q8" s="32">
        <f t="shared" si="2"/>
        <v>0</v>
      </c>
      <c r="S8" s="32">
        <f t="shared" si="3"/>
        <v>0</v>
      </c>
      <c r="U8" s="32">
        <f t="shared" si="4"/>
        <v>0</v>
      </c>
    </row>
    <row r="9" spans="1:21">
      <c r="O9" s="43"/>
      <c r="Q9" s="32">
        <f t="shared" si="2"/>
        <v>0</v>
      </c>
      <c r="S9" s="32">
        <f t="shared" si="3"/>
        <v>0</v>
      </c>
      <c r="U9" s="32">
        <f t="shared" si="4"/>
        <v>0</v>
      </c>
    </row>
    <row r="10" spans="1:21">
      <c r="O10" s="42"/>
      <c r="Q10" s="32">
        <f t="shared" si="2"/>
        <v>0</v>
      </c>
      <c r="S10" s="32">
        <f t="shared" si="3"/>
        <v>0</v>
      </c>
      <c r="U10" s="32">
        <f t="shared" si="4"/>
        <v>0</v>
      </c>
    </row>
    <row r="11" spans="1:21">
      <c r="O11" s="43"/>
      <c r="Q11" s="32">
        <f t="shared" si="2"/>
        <v>0</v>
      </c>
      <c r="S11" s="32">
        <f t="shared" si="3"/>
        <v>0</v>
      </c>
      <c r="U11" s="32">
        <f t="shared" si="4"/>
        <v>0</v>
      </c>
    </row>
    <row r="12" spans="1:21">
      <c r="O12" s="42"/>
      <c r="Q12" s="32">
        <f t="shared" si="2"/>
        <v>0</v>
      </c>
      <c r="S12" s="32">
        <f t="shared" si="3"/>
        <v>0</v>
      </c>
      <c r="U12" s="32">
        <f t="shared" si="4"/>
        <v>0</v>
      </c>
    </row>
    <row r="13" spans="1:21">
      <c r="O13" s="43"/>
      <c r="Q13" s="32">
        <f t="shared" si="2"/>
        <v>0</v>
      </c>
      <c r="S13" s="32">
        <f t="shared" si="3"/>
        <v>0</v>
      </c>
      <c r="U13" s="32">
        <f t="shared" si="4"/>
        <v>0</v>
      </c>
    </row>
    <row r="14" spans="1:21">
      <c r="O14" s="43"/>
      <c r="Q14" s="32">
        <f t="shared" si="2"/>
        <v>0</v>
      </c>
      <c r="S14" s="32">
        <f>$O14*($L14)</f>
        <v>0</v>
      </c>
      <c r="U14" s="32">
        <f t="shared" si="4"/>
        <v>0</v>
      </c>
    </row>
    <row r="15" spans="1:21">
      <c r="O15" s="42"/>
      <c r="Q15" s="32">
        <f t="shared" si="2"/>
        <v>0</v>
      </c>
      <c r="S15" s="32">
        <f t="shared" si="3"/>
        <v>0</v>
      </c>
      <c r="U15" s="32">
        <f t="shared" si="4"/>
        <v>0</v>
      </c>
    </row>
    <row r="16" spans="1:21">
      <c r="O16" s="42"/>
      <c r="Q16" s="32">
        <f t="shared" si="2"/>
        <v>0</v>
      </c>
      <c r="S16" s="32">
        <f t="shared" si="3"/>
        <v>0</v>
      </c>
      <c r="U16" s="32">
        <f t="shared" si="4"/>
        <v>0</v>
      </c>
    </row>
    <row r="17" spans="15:21">
      <c r="O17" s="42"/>
      <c r="Q17" s="32">
        <f t="shared" si="2"/>
        <v>0</v>
      </c>
      <c r="S17" s="32">
        <f t="shared" si="3"/>
        <v>0</v>
      </c>
      <c r="U17" s="32">
        <f t="shared" si="4"/>
        <v>0</v>
      </c>
    </row>
    <row r="18" spans="15:21">
      <c r="O18" s="42"/>
      <c r="Q18" s="32">
        <f t="shared" si="2"/>
        <v>0</v>
      </c>
      <c r="S18" s="32">
        <f t="shared" si="3"/>
        <v>0</v>
      </c>
      <c r="U18" s="32">
        <f t="shared" si="4"/>
        <v>0</v>
      </c>
    </row>
    <row r="19" spans="15:21">
      <c r="O19" s="43"/>
      <c r="Q19" s="32">
        <f t="shared" si="2"/>
        <v>0</v>
      </c>
      <c r="S19" s="32">
        <f t="shared" si="3"/>
        <v>0</v>
      </c>
      <c r="U19" s="32">
        <f t="shared" si="4"/>
        <v>0</v>
      </c>
    </row>
    <row r="20" spans="15:21">
      <c r="O20" s="42"/>
      <c r="Q20" s="41">
        <f t="shared" si="2"/>
        <v>0</v>
      </c>
      <c r="S20" s="32">
        <f t="shared" si="3"/>
        <v>0</v>
      </c>
      <c r="U20" s="32">
        <f t="shared" si="4"/>
        <v>0</v>
      </c>
    </row>
    <row r="21" spans="15:21">
      <c r="Q21" s="55" t="s">
        <v>41</v>
      </c>
      <c r="S21" s="55" t="s">
        <v>3</v>
      </c>
      <c r="U21" s="55" t="s">
        <v>4</v>
      </c>
    </row>
    <row r="22" spans="15:21">
      <c r="Q22" s="25">
        <f>SUM(Q4:Q20)</f>
        <v>0</v>
      </c>
      <c r="S22" s="25">
        <f>SUM(S4:S20)</f>
        <v>0</v>
      </c>
      <c r="U22" s="25">
        <f>SUM(U4:U20)</f>
        <v>0</v>
      </c>
    </row>
  </sheetData>
  <mergeCells count="3">
    <mergeCell ref="O1:Q1"/>
    <mergeCell ref="C1:E1"/>
    <mergeCell ref="S1:U1"/>
  </mergeCells>
  <phoneticPr fontId="5" type="noConversion"/>
  <conditionalFormatting sqref="A4:M7">
    <cfRule type="expression" dxfId="18" priority="2">
      <formula>MOD(ROW(),2)=0</formula>
    </cfRule>
  </conditionalFormatting>
  <conditionalFormatting sqref="O4:O20 Q4:Q20 S4:S20 U4:U20">
    <cfRule type="expression" dxfId="17" priority="1">
      <formula>MOD(ROW(),2)=0</formula>
    </cfRule>
  </conditionalFormatting>
  <hyperlinks>
    <hyperlink ref="D4" r:id="rId1" xr:uid="{41459E1F-7B85-4694-8D0E-3FE3E9B6381B}"/>
    <hyperlink ref="D5:D7" r:id="rId2" display="Zicla Vectorial" xr:uid="{E7899C1D-5462-4773-B625-ACDE5952AA93}"/>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4B38FD6-F98D-4C10-AA33-ED550469A588}">
          <x14:formula1>
            <xm:f>'Inflation Factor and Modifiers'!#REF!</xm:f>
          </x14:formula1>
          <xm:sqref>H4:H7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A4FF2-BE9A-437C-98B8-FC604A023964}">
  <dimension ref="A1:U24"/>
  <sheetViews>
    <sheetView zoomScale="70" zoomScaleNormal="70" workbookViewId="0">
      <pane xSplit="1" topLeftCell="B1" activePane="topRight" state="frozen"/>
      <selection pane="topRight" activeCell="U5" sqref="U5"/>
    </sheetView>
  </sheetViews>
  <sheetFormatPr defaultRowHeight="14.45"/>
  <cols>
    <col min="1" max="1" width="48.42578125" customWidth="1"/>
    <col min="2" max="2" width="19.85546875" customWidth="1"/>
    <col min="3" max="3" width="24.7109375" customWidth="1"/>
    <col min="4" max="4" width="25.85546875" customWidth="1"/>
    <col min="7" max="7" width="21.5703125" customWidth="1"/>
    <col min="8" max="8" width="17.85546875" customWidth="1"/>
    <col min="9" max="9" width="18.140625" customWidth="1"/>
    <col min="10" max="10" width="12.42578125" customWidth="1"/>
    <col min="11" max="11" width="10.85546875" customWidth="1"/>
    <col min="12" max="12" width="14.42578125" customWidth="1"/>
    <col min="13" max="13" width="15.140625" customWidth="1"/>
    <col min="14" max="14" width="5.140625" customWidth="1"/>
    <col min="15" max="15" width="11.5703125" customWidth="1"/>
    <col min="16" max="16" width="4" customWidth="1"/>
    <col min="17" max="17" width="15.7109375" customWidth="1"/>
    <col min="18" max="18" width="4" customWidth="1"/>
    <col min="19" max="19" width="17" customWidth="1"/>
    <col min="20" max="20" width="4.140625" customWidth="1"/>
    <col min="21" max="21" width="17.42578125" customWidth="1"/>
  </cols>
  <sheetData>
    <row r="1" spans="1:21" ht="30.6" customHeight="1">
      <c r="C1" s="99"/>
      <c r="D1" s="99"/>
      <c r="E1" s="99"/>
      <c r="O1" s="98" t="s">
        <v>17</v>
      </c>
      <c r="P1" s="98"/>
      <c r="Q1" s="98"/>
      <c r="S1" s="98" t="s">
        <v>18</v>
      </c>
      <c r="T1" s="98"/>
      <c r="U1" s="98"/>
    </row>
    <row r="2" spans="1:21" ht="12" customHeight="1"/>
    <row r="3" spans="1:21" ht="48.6" customHeight="1">
      <c r="A3" s="49" t="s">
        <v>19</v>
      </c>
      <c r="B3" s="50" t="s">
        <v>20</v>
      </c>
      <c r="C3" s="49" t="s">
        <v>21</v>
      </c>
      <c r="D3" s="49" t="s">
        <v>22</v>
      </c>
      <c r="E3" s="49" t="s">
        <v>16</v>
      </c>
      <c r="F3" s="51" t="s">
        <v>23</v>
      </c>
      <c r="G3" s="50" t="s">
        <v>24</v>
      </c>
      <c r="H3" s="50" t="s">
        <v>25</v>
      </c>
      <c r="I3" s="50" t="s">
        <v>26</v>
      </c>
      <c r="J3" s="50" t="s">
        <v>27</v>
      </c>
      <c r="K3" s="52" t="s">
        <v>28</v>
      </c>
      <c r="L3" s="50" t="s">
        <v>29</v>
      </c>
      <c r="M3" s="53" t="s">
        <v>30</v>
      </c>
      <c r="O3" s="46" t="s">
        <v>31</v>
      </c>
      <c r="Q3" s="54" t="s">
        <v>32</v>
      </c>
      <c r="S3" s="54" t="s">
        <v>3</v>
      </c>
      <c r="U3" s="54" t="s">
        <v>4</v>
      </c>
    </row>
    <row r="4" spans="1:21" ht="18.600000000000001">
      <c r="A4" s="27" t="s">
        <v>42</v>
      </c>
      <c r="B4" s="28" t="s">
        <v>43</v>
      </c>
      <c r="C4" s="28" t="s">
        <v>44</v>
      </c>
      <c r="D4" s="29" t="s">
        <v>45</v>
      </c>
      <c r="E4" s="28">
        <v>2024</v>
      </c>
      <c r="F4" s="28" t="s">
        <v>46</v>
      </c>
      <c r="G4" s="31">
        <v>2.99</v>
      </c>
      <c r="H4" s="88">
        <v>0</v>
      </c>
      <c r="I4" s="31">
        <f>(G4*(_xlfn.XLOOKUP(E4, Table1[Year], Table1[ENR CCI-LA (USE THIS escalation factor to inflate to 2024$)])))*(1+H4)</f>
        <v>2.99</v>
      </c>
      <c r="J4" s="28">
        <v>3</v>
      </c>
      <c r="K4" s="28">
        <v>5</v>
      </c>
      <c r="L4" s="31">
        <f t="shared" ref="L4:L19" si="0">I4/K4</f>
        <v>0.59800000000000009</v>
      </c>
      <c r="M4" s="32">
        <f t="shared" ref="M4:M19" si="1">I4/J4</f>
        <v>0.9966666666666667</v>
      </c>
      <c r="O4" s="42"/>
      <c r="Q4" s="32">
        <f>O4*I4</f>
        <v>0</v>
      </c>
      <c r="S4" s="32">
        <f>$O4*($L4)</f>
        <v>0</v>
      </c>
      <c r="U4" s="32">
        <f>$O4*($M4)</f>
        <v>0</v>
      </c>
    </row>
    <row r="5" spans="1:21" ht="18.600000000000001">
      <c r="A5" s="30" t="s">
        <v>47</v>
      </c>
      <c r="B5" s="28" t="s">
        <v>48</v>
      </c>
      <c r="C5" s="28" t="s">
        <v>44</v>
      </c>
      <c r="D5" s="29" t="s">
        <v>45</v>
      </c>
      <c r="E5" s="28">
        <v>2024</v>
      </c>
      <c r="F5" s="28" t="s">
        <v>37</v>
      </c>
      <c r="G5" s="31">
        <v>95.88</v>
      </c>
      <c r="H5" s="88">
        <v>0</v>
      </c>
      <c r="I5" s="31">
        <f>(G5*(_xlfn.XLOOKUP(E5, Table1[Year], Table1[ENR CCI-LA (USE THIS escalation factor to inflate to 2024$)])))*(1+H5)</f>
        <v>95.88</v>
      </c>
      <c r="J5" s="28">
        <v>2</v>
      </c>
      <c r="K5" s="28">
        <v>5</v>
      </c>
      <c r="L5" s="31">
        <f t="shared" si="0"/>
        <v>19.175999999999998</v>
      </c>
      <c r="M5" s="32">
        <f t="shared" si="1"/>
        <v>47.94</v>
      </c>
      <c r="O5" s="42"/>
      <c r="Q5" s="32">
        <f t="shared" ref="Q5:Q19" si="2">O5*I5</f>
        <v>0</v>
      </c>
      <c r="S5" s="32">
        <f t="shared" ref="S5:S19" si="3">$O5*($L5)</f>
        <v>0</v>
      </c>
      <c r="U5" s="32">
        <f>$O5*($M5)</f>
        <v>0</v>
      </c>
    </row>
    <row r="6" spans="1:21" ht="18.600000000000001">
      <c r="A6" s="30" t="s">
        <v>49</v>
      </c>
      <c r="B6" s="28" t="s">
        <v>48</v>
      </c>
      <c r="C6" s="28" t="s">
        <v>50</v>
      </c>
      <c r="D6" s="29" t="s">
        <v>51</v>
      </c>
      <c r="E6" s="28">
        <v>2022</v>
      </c>
      <c r="F6" s="28" t="s">
        <v>37</v>
      </c>
      <c r="G6" s="31">
        <v>200</v>
      </c>
      <c r="H6" s="88">
        <v>0</v>
      </c>
      <c r="I6" s="31">
        <f>(G6*(_xlfn.XLOOKUP(E6, Table1[Year], Table1[ENR CCI-LA (USE THIS escalation factor to inflate to 2024$)])))*(1+H6)</f>
        <v>229.24</v>
      </c>
      <c r="J6" s="28">
        <v>2</v>
      </c>
      <c r="K6" s="28">
        <v>5</v>
      </c>
      <c r="L6" s="31">
        <f t="shared" si="0"/>
        <v>45.847999999999999</v>
      </c>
      <c r="M6" s="32">
        <f t="shared" si="1"/>
        <v>114.62</v>
      </c>
      <c r="O6" s="42"/>
      <c r="Q6" s="32">
        <f t="shared" si="2"/>
        <v>0</v>
      </c>
      <c r="S6" s="32">
        <f t="shared" si="3"/>
        <v>0</v>
      </c>
      <c r="U6" s="32">
        <f t="shared" ref="U5:U19" si="4">$O6*($M6)</f>
        <v>0</v>
      </c>
    </row>
    <row r="7" spans="1:21" ht="18.600000000000001">
      <c r="A7" s="27" t="s">
        <v>52</v>
      </c>
      <c r="B7" s="28" t="s">
        <v>48</v>
      </c>
      <c r="C7" s="28" t="s">
        <v>35</v>
      </c>
      <c r="D7" s="33" t="s">
        <v>36</v>
      </c>
      <c r="E7" s="28">
        <v>2025</v>
      </c>
      <c r="F7" s="28" t="s">
        <v>37</v>
      </c>
      <c r="G7" s="31">
        <v>131</v>
      </c>
      <c r="H7" s="87">
        <v>0.2</v>
      </c>
      <c r="I7" s="31">
        <f>(G7*(_xlfn.XLOOKUP(E7, Table1[Year], Table1[ENR CCI-LA (USE THIS escalation factor to inflate to 2024$)])))*(1+H7)</f>
        <v>157.19999999999999</v>
      </c>
      <c r="J7" s="28">
        <v>2</v>
      </c>
      <c r="K7" s="28">
        <v>5</v>
      </c>
      <c r="L7" s="31">
        <f t="shared" si="0"/>
        <v>31.439999999999998</v>
      </c>
      <c r="M7" s="32">
        <f t="shared" si="1"/>
        <v>78.599999999999994</v>
      </c>
      <c r="O7" s="42"/>
      <c r="Q7" s="32">
        <f t="shared" si="2"/>
        <v>0</v>
      </c>
      <c r="S7" s="32">
        <f t="shared" si="3"/>
        <v>0</v>
      </c>
      <c r="U7" s="32">
        <f t="shared" si="4"/>
        <v>0</v>
      </c>
    </row>
    <row r="8" spans="1:21" ht="18.600000000000001">
      <c r="A8" s="30" t="s">
        <v>53</v>
      </c>
      <c r="B8" s="34" t="s">
        <v>54</v>
      </c>
      <c r="C8" s="28" t="s">
        <v>44</v>
      </c>
      <c r="D8" s="29" t="s">
        <v>45</v>
      </c>
      <c r="E8" s="28">
        <v>2024</v>
      </c>
      <c r="F8" s="28" t="s">
        <v>46</v>
      </c>
      <c r="G8" s="31">
        <v>2.48</v>
      </c>
      <c r="H8" s="88">
        <v>0</v>
      </c>
      <c r="I8" s="31">
        <f>(G8*(_xlfn.XLOOKUP(E8, Table1[Year], Table1[ENR CCI-LA (USE THIS escalation factor to inflate to 2024$)])))*(1+H8)</f>
        <v>2.48</v>
      </c>
      <c r="J8" s="28">
        <v>3</v>
      </c>
      <c r="K8" s="28">
        <v>5</v>
      </c>
      <c r="L8" s="31">
        <f t="shared" si="0"/>
        <v>0.496</v>
      </c>
      <c r="M8" s="32">
        <f t="shared" si="1"/>
        <v>0.82666666666666666</v>
      </c>
      <c r="O8" s="42"/>
      <c r="Q8" s="32">
        <f t="shared" si="2"/>
        <v>0</v>
      </c>
      <c r="S8" s="32">
        <f t="shared" si="3"/>
        <v>0</v>
      </c>
      <c r="U8" s="32">
        <f t="shared" si="4"/>
        <v>0</v>
      </c>
    </row>
    <row r="9" spans="1:21" ht="18.600000000000001">
      <c r="A9" s="27" t="s">
        <v>55</v>
      </c>
      <c r="B9" s="28" t="s">
        <v>56</v>
      </c>
      <c r="C9" s="28" t="s">
        <v>44</v>
      </c>
      <c r="D9" s="29" t="s">
        <v>45</v>
      </c>
      <c r="E9" s="28">
        <v>2024</v>
      </c>
      <c r="F9" s="28" t="s">
        <v>37</v>
      </c>
      <c r="G9" s="31">
        <v>880.93</v>
      </c>
      <c r="H9" s="88">
        <v>0</v>
      </c>
      <c r="I9" s="31">
        <f>(G9*(_xlfn.XLOOKUP(E9, Table1[Year], Table1[ENR CCI-LA (USE THIS escalation factor to inflate to 2024$)])))*(1+H9)</f>
        <v>880.93</v>
      </c>
      <c r="J9" s="28">
        <v>5</v>
      </c>
      <c r="K9" s="28">
        <v>10</v>
      </c>
      <c r="L9" s="31">
        <f t="shared" si="0"/>
        <v>88.092999999999989</v>
      </c>
      <c r="M9" s="32">
        <f t="shared" si="1"/>
        <v>176.18599999999998</v>
      </c>
      <c r="O9" s="42"/>
      <c r="Q9" s="32">
        <f t="shared" si="2"/>
        <v>0</v>
      </c>
      <c r="S9" s="32">
        <f t="shared" si="3"/>
        <v>0</v>
      </c>
      <c r="U9" s="32">
        <f t="shared" si="4"/>
        <v>0</v>
      </c>
    </row>
    <row r="10" spans="1:21" ht="18.600000000000001">
      <c r="A10" s="35" t="s">
        <v>57</v>
      </c>
      <c r="B10" s="37" t="s">
        <v>56</v>
      </c>
      <c r="C10" s="28" t="s">
        <v>44</v>
      </c>
      <c r="D10" s="29" t="s">
        <v>45</v>
      </c>
      <c r="E10" s="28">
        <v>2024</v>
      </c>
      <c r="F10" s="36" t="s">
        <v>37</v>
      </c>
      <c r="G10" s="38">
        <v>245.98</v>
      </c>
      <c r="H10" s="88">
        <v>0</v>
      </c>
      <c r="I10" s="31">
        <f>(G10*(_xlfn.XLOOKUP(E10, Table1[Year], Table1[ENR CCI-LA (USE THIS escalation factor to inflate to 2024$)])))*(1+H10)</f>
        <v>245.98</v>
      </c>
      <c r="J10" s="36">
        <v>5</v>
      </c>
      <c r="K10" s="36">
        <v>10</v>
      </c>
      <c r="L10" s="38">
        <f>I10/K10</f>
        <v>24.597999999999999</v>
      </c>
      <c r="M10" s="39">
        <f>I10/J10</f>
        <v>49.195999999999998</v>
      </c>
      <c r="O10" s="43"/>
      <c r="Q10" s="32">
        <f t="shared" si="2"/>
        <v>0</v>
      </c>
      <c r="S10" s="32">
        <f t="shared" si="3"/>
        <v>0</v>
      </c>
      <c r="U10" s="32">
        <f t="shared" si="4"/>
        <v>0</v>
      </c>
    </row>
    <row r="11" spans="1:21" ht="18.600000000000001">
      <c r="A11" s="30" t="s">
        <v>58</v>
      </c>
      <c r="B11" s="34" t="s">
        <v>59</v>
      </c>
      <c r="C11" s="28" t="s">
        <v>44</v>
      </c>
      <c r="D11" s="29" t="s">
        <v>45</v>
      </c>
      <c r="E11" s="28">
        <v>2023</v>
      </c>
      <c r="F11" s="28" t="s">
        <v>46</v>
      </c>
      <c r="G11" s="31">
        <v>12.78</v>
      </c>
      <c r="H11" s="88">
        <v>0</v>
      </c>
      <c r="I11" s="31">
        <f>(G11*(_xlfn.XLOOKUP(E11, Table1[Year], Table1[ENR CCI-LA (USE THIS escalation factor to inflate to 2024$)])))*(1+H11)</f>
        <v>13.31676</v>
      </c>
      <c r="J11" s="28">
        <v>3</v>
      </c>
      <c r="K11" s="28">
        <v>5</v>
      </c>
      <c r="L11" s="31">
        <f t="shared" ref="L11" si="5">I11/K11</f>
        <v>2.6633520000000002</v>
      </c>
      <c r="M11" s="32">
        <f t="shared" ref="M11" si="6">I11/J11</f>
        <v>4.4389200000000004</v>
      </c>
      <c r="O11" s="42"/>
      <c r="Q11" s="32">
        <f t="shared" si="2"/>
        <v>0</v>
      </c>
      <c r="S11" s="32">
        <f t="shared" si="3"/>
        <v>0</v>
      </c>
      <c r="U11" s="32">
        <f t="shared" si="4"/>
        <v>0</v>
      </c>
    </row>
    <row r="12" spans="1:21" ht="18.600000000000001">
      <c r="A12" s="40" t="s">
        <v>60</v>
      </c>
      <c r="B12" s="36" t="s">
        <v>59</v>
      </c>
      <c r="C12" s="36" t="s">
        <v>44</v>
      </c>
      <c r="D12" s="29" t="s">
        <v>45</v>
      </c>
      <c r="E12" s="36">
        <v>2024</v>
      </c>
      <c r="F12" s="36" t="s">
        <v>46</v>
      </c>
      <c r="G12" s="38">
        <v>9.4</v>
      </c>
      <c r="H12" s="88">
        <v>0</v>
      </c>
      <c r="I12" s="31">
        <f>(G12*(_xlfn.XLOOKUP(E12, Table1[Year], Table1[ENR CCI-LA (USE THIS escalation factor to inflate to 2024$)])))*(1+H12)</f>
        <v>9.4</v>
      </c>
      <c r="J12" s="36">
        <v>3</v>
      </c>
      <c r="K12" s="36">
        <v>5</v>
      </c>
      <c r="L12" s="38">
        <f t="shared" si="0"/>
        <v>1.8800000000000001</v>
      </c>
      <c r="M12" s="39">
        <f t="shared" si="1"/>
        <v>3.1333333333333333</v>
      </c>
      <c r="O12" s="43"/>
      <c r="Q12" s="32">
        <f t="shared" si="2"/>
        <v>0</v>
      </c>
      <c r="S12" s="32">
        <f t="shared" si="3"/>
        <v>0</v>
      </c>
      <c r="U12" s="32">
        <f t="shared" si="4"/>
        <v>0</v>
      </c>
    </row>
    <row r="13" spans="1:21" ht="18.600000000000001">
      <c r="A13" s="40" t="s">
        <v>61</v>
      </c>
      <c r="B13" s="28" t="s">
        <v>59</v>
      </c>
      <c r="C13" s="28" t="s">
        <v>44</v>
      </c>
      <c r="D13" s="29" t="s">
        <v>45</v>
      </c>
      <c r="E13" s="36">
        <v>2024</v>
      </c>
      <c r="F13" s="36" t="s">
        <v>46</v>
      </c>
      <c r="G13" s="38">
        <f>G17*17</f>
        <v>256.19</v>
      </c>
      <c r="H13" s="88">
        <v>0</v>
      </c>
      <c r="I13" s="31">
        <f>(G13*(_xlfn.XLOOKUP(E13, Table1[Year], Table1[ENR CCI-LA (USE THIS escalation factor to inflate to 2024$)])))*(1+H13)</f>
        <v>256.19</v>
      </c>
      <c r="J13" s="36">
        <v>3</v>
      </c>
      <c r="K13" s="36">
        <v>5</v>
      </c>
      <c r="L13" s="38">
        <f>I13/K13</f>
        <v>51.238</v>
      </c>
      <c r="M13" s="39">
        <f t="shared" si="1"/>
        <v>85.396666666666661</v>
      </c>
      <c r="O13" s="43"/>
      <c r="Q13" s="32">
        <f t="shared" si="2"/>
        <v>0</v>
      </c>
      <c r="S13" s="32">
        <f>$O13*($L13)</f>
        <v>0</v>
      </c>
      <c r="U13" s="32">
        <f t="shared" si="4"/>
        <v>0</v>
      </c>
    </row>
    <row r="14" spans="1:21" ht="18.600000000000001">
      <c r="A14" s="30" t="s">
        <v>62</v>
      </c>
      <c r="B14" s="28" t="s">
        <v>59</v>
      </c>
      <c r="C14" s="28" t="s">
        <v>44</v>
      </c>
      <c r="D14" s="29" t="s">
        <v>45</v>
      </c>
      <c r="E14" s="28">
        <v>2024</v>
      </c>
      <c r="F14" s="28" t="s">
        <v>63</v>
      </c>
      <c r="G14" s="31">
        <v>3.63</v>
      </c>
      <c r="H14" s="88">
        <v>0</v>
      </c>
      <c r="I14" s="31">
        <f>(G14*(_xlfn.XLOOKUP(E14, Table1[Year], Table1[ENR CCI-LA (USE THIS escalation factor to inflate to 2024$)])))*(1+H14)</f>
        <v>3.63</v>
      </c>
      <c r="J14" s="28">
        <v>3</v>
      </c>
      <c r="K14" s="28">
        <v>5</v>
      </c>
      <c r="L14" s="31">
        <f t="shared" si="0"/>
        <v>0.72599999999999998</v>
      </c>
      <c r="M14" s="32">
        <f t="shared" si="1"/>
        <v>1.21</v>
      </c>
      <c r="O14" s="42"/>
      <c r="Q14" s="32">
        <f t="shared" si="2"/>
        <v>0</v>
      </c>
      <c r="S14" s="32">
        <f t="shared" si="3"/>
        <v>0</v>
      </c>
      <c r="U14" s="32">
        <f t="shared" si="4"/>
        <v>0</v>
      </c>
    </row>
    <row r="15" spans="1:21" ht="18.600000000000001">
      <c r="A15" s="30" t="s">
        <v>64</v>
      </c>
      <c r="B15" s="36" t="s">
        <v>59</v>
      </c>
      <c r="C15" s="28" t="s">
        <v>44</v>
      </c>
      <c r="D15" s="29" t="s">
        <v>45</v>
      </c>
      <c r="E15" s="28">
        <v>2024</v>
      </c>
      <c r="F15" s="28" t="s">
        <v>63</v>
      </c>
      <c r="G15" s="31">
        <v>4.1500000000000004</v>
      </c>
      <c r="H15" s="88">
        <v>0</v>
      </c>
      <c r="I15" s="31">
        <f>(G15*(_xlfn.XLOOKUP(E15, Table1[Year], Table1[ENR CCI-LA (USE THIS escalation factor to inflate to 2024$)])))*(1+H15)</f>
        <v>4.1500000000000004</v>
      </c>
      <c r="J15" s="28">
        <v>3</v>
      </c>
      <c r="K15" s="28">
        <v>5</v>
      </c>
      <c r="L15" s="31">
        <f t="shared" si="0"/>
        <v>0.83000000000000007</v>
      </c>
      <c r="M15" s="32">
        <f t="shared" si="1"/>
        <v>1.3833333333333335</v>
      </c>
      <c r="O15" s="42"/>
      <c r="Q15" s="32">
        <f t="shared" si="2"/>
        <v>0</v>
      </c>
      <c r="S15" s="32">
        <f t="shared" si="3"/>
        <v>0</v>
      </c>
      <c r="U15" s="32">
        <f t="shared" si="4"/>
        <v>0</v>
      </c>
    </row>
    <row r="16" spans="1:21" ht="18.600000000000001">
      <c r="A16" s="30" t="s">
        <v>65</v>
      </c>
      <c r="B16" s="28" t="s">
        <v>59</v>
      </c>
      <c r="C16" s="28" t="s">
        <v>44</v>
      </c>
      <c r="D16" s="29" t="s">
        <v>45</v>
      </c>
      <c r="E16" s="28">
        <v>2024</v>
      </c>
      <c r="F16" s="28" t="s">
        <v>63</v>
      </c>
      <c r="G16" s="31">
        <v>4.1100000000000003</v>
      </c>
      <c r="H16" s="88">
        <v>0</v>
      </c>
      <c r="I16" s="31">
        <f>(G16*(_xlfn.XLOOKUP(E16, Table1[Year], Table1[ENR CCI-LA (USE THIS escalation factor to inflate to 2024$)])))*(1+H16)</f>
        <v>4.1100000000000003</v>
      </c>
      <c r="J16" s="28">
        <v>3</v>
      </c>
      <c r="K16" s="28">
        <v>5</v>
      </c>
      <c r="L16" s="31">
        <f t="shared" si="0"/>
        <v>0.82200000000000006</v>
      </c>
      <c r="M16" s="32">
        <f t="shared" si="1"/>
        <v>1.37</v>
      </c>
      <c r="O16" s="42"/>
      <c r="Q16" s="32">
        <f t="shared" si="2"/>
        <v>0</v>
      </c>
      <c r="S16" s="32">
        <f t="shared" si="3"/>
        <v>0</v>
      </c>
      <c r="U16" s="32">
        <f t="shared" si="4"/>
        <v>0</v>
      </c>
    </row>
    <row r="17" spans="1:21" ht="36.950000000000003">
      <c r="A17" s="30" t="s">
        <v>66</v>
      </c>
      <c r="B17" s="36" t="s">
        <v>59</v>
      </c>
      <c r="C17" s="28" t="s">
        <v>44</v>
      </c>
      <c r="D17" s="29" t="s">
        <v>45</v>
      </c>
      <c r="E17" s="28">
        <v>2024</v>
      </c>
      <c r="F17" s="28" t="s">
        <v>46</v>
      </c>
      <c r="G17" s="31">
        <v>15.07</v>
      </c>
      <c r="H17" s="88">
        <v>0</v>
      </c>
      <c r="I17" s="31">
        <f>(G17*(_xlfn.XLOOKUP(E17, Table1[Year], Table1[ENR CCI-LA (USE THIS escalation factor to inflate to 2024$)])))*(1+H17)</f>
        <v>15.07</v>
      </c>
      <c r="J17" s="28">
        <v>3</v>
      </c>
      <c r="K17" s="28">
        <v>5</v>
      </c>
      <c r="L17" s="31">
        <f t="shared" si="0"/>
        <v>3.0140000000000002</v>
      </c>
      <c r="M17" s="32">
        <f t="shared" si="1"/>
        <v>5.0233333333333334</v>
      </c>
      <c r="O17" s="42"/>
      <c r="Q17" s="32">
        <f t="shared" si="2"/>
        <v>0</v>
      </c>
      <c r="S17" s="32">
        <f t="shared" si="3"/>
        <v>0</v>
      </c>
      <c r="U17" s="32">
        <f t="shared" si="4"/>
        <v>0</v>
      </c>
    </row>
    <row r="18" spans="1:21" ht="18.600000000000001">
      <c r="A18" s="30" t="s">
        <v>67</v>
      </c>
      <c r="B18" s="28" t="s">
        <v>59</v>
      </c>
      <c r="C18" s="28" t="s">
        <v>68</v>
      </c>
      <c r="D18" s="29" t="s">
        <v>69</v>
      </c>
      <c r="E18" s="28">
        <v>2024</v>
      </c>
      <c r="F18" s="28" t="s">
        <v>37</v>
      </c>
      <c r="G18" s="31">
        <v>500</v>
      </c>
      <c r="H18" s="88">
        <v>0</v>
      </c>
      <c r="I18" s="31">
        <f>(G18*(_xlfn.XLOOKUP(E18, Table1[Year], Table1[ENR CCI-LA (USE THIS escalation factor to inflate to 2024$)])))*(1+H18)</f>
        <v>500</v>
      </c>
      <c r="J18" s="28">
        <v>3</v>
      </c>
      <c r="K18" s="28">
        <v>5</v>
      </c>
      <c r="L18" s="31">
        <f t="shared" si="0"/>
        <v>100</v>
      </c>
      <c r="M18" s="32">
        <f t="shared" si="1"/>
        <v>166.66666666666666</v>
      </c>
      <c r="O18" s="43"/>
      <c r="Q18" s="32">
        <f t="shared" si="2"/>
        <v>0</v>
      </c>
      <c r="S18" s="32">
        <f t="shared" si="3"/>
        <v>0</v>
      </c>
      <c r="U18" s="32">
        <f t="shared" si="4"/>
        <v>0</v>
      </c>
    </row>
    <row r="19" spans="1:21" ht="18.600000000000001">
      <c r="A19" s="44" t="s">
        <v>70</v>
      </c>
      <c r="B19" s="43" t="s">
        <v>59</v>
      </c>
      <c r="C19" s="43" t="s">
        <v>68</v>
      </c>
      <c r="D19" s="94" t="s">
        <v>69</v>
      </c>
      <c r="E19" s="43">
        <v>2024</v>
      </c>
      <c r="F19" s="43" t="s">
        <v>37</v>
      </c>
      <c r="G19" s="45">
        <v>1000</v>
      </c>
      <c r="H19" s="89">
        <v>0</v>
      </c>
      <c r="I19" s="41">
        <f>(G19*(_xlfn.XLOOKUP(E19, Table1[Year], Table1[ENR CCI-LA (USE THIS escalation factor to inflate to 2024$)])))*(1+H19)</f>
        <v>1000</v>
      </c>
      <c r="J19" s="43">
        <v>3</v>
      </c>
      <c r="K19" s="43">
        <v>5</v>
      </c>
      <c r="L19" s="45">
        <f t="shared" si="0"/>
        <v>200</v>
      </c>
      <c r="M19" s="45">
        <f t="shared" si="1"/>
        <v>333.33333333333331</v>
      </c>
      <c r="O19" s="42"/>
      <c r="Q19" s="41">
        <f t="shared" si="2"/>
        <v>0</v>
      </c>
      <c r="S19" s="32">
        <f t="shared" si="3"/>
        <v>0</v>
      </c>
      <c r="U19" s="32">
        <f t="shared" si="4"/>
        <v>0</v>
      </c>
    </row>
    <row r="20" spans="1:21" ht="24.6" customHeight="1">
      <c r="Q20" s="55" t="s">
        <v>41</v>
      </c>
      <c r="S20" s="55" t="s">
        <v>3</v>
      </c>
      <c r="U20" s="55" t="s">
        <v>4</v>
      </c>
    </row>
    <row r="21" spans="1:21" ht="23.1" customHeight="1">
      <c r="Q21" s="25">
        <f>SUM(Q4:Q19)</f>
        <v>0</v>
      </c>
      <c r="S21" s="25">
        <f>SUM(S4:S19)</f>
        <v>0</v>
      </c>
      <c r="U21" s="25">
        <f>SUM(U4:U19)</f>
        <v>0</v>
      </c>
    </row>
    <row r="24" spans="1:21">
      <c r="H24" s="16"/>
    </row>
  </sheetData>
  <mergeCells count="3">
    <mergeCell ref="O1:Q1"/>
    <mergeCell ref="C1:E1"/>
    <mergeCell ref="S1:U1"/>
  </mergeCells>
  <conditionalFormatting sqref="A4:M19 O4:O19 Q4:Q19 S4:S19 U4:U19">
    <cfRule type="expression" dxfId="16" priority="1">
      <formula>MOD(ROW(),2)=0</formula>
    </cfRule>
  </conditionalFormatting>
  <hyperlinks>
    <hyperlink ref="D6" r:id="rId1" xr:uid="{681BE160-49EF-4F1C-8CA0-7F3BDFF77914}"/>
    <hyperlink ref="D7" r:id="rId2" xr:uid="{8327D5C0-5700-44DE-B170-5EF844179613}"/>
    <hyperlink ref="D18" r:id="rId3" xr:uid="{9D5C5A42-99BB-4578-930A-1B41A7086578}"/>
    <hyperlink ref="D4" r:id="rId4" xr:uid="{4E354290-BF06-4C16-97AD-3919338EA294}"/>
    <hyperlink ref="D5" r:id="rId5" xr:uid="{08087343-FE90-4A16-B3B7-DC25A1A57B8A}"/>
    <hyperlink ref="D9" r:id="rId6" xr:uid="{287B357F-CD22-42CD-90BB-71C4A7872B78}"/>
    <hyperlink ref="D8" r:id="rId7" xr:uid="{4014E88C-639E-450C-9D0C-444C69F01EF2}"/>
    <hyperlink ref="D10:D16" r:id="rId8" display="Caltrans Contract Costs" xr:uid="{EBFBA956-B8D3-4132-8998-CA56594526C1}"/>
    <hyperlink ref="D17" r:id="rId9" xr:uid="{01E232D6-3225-4A21-8865-1FBB88AD81DE}"/>
    <hyperlink ref="D19" r:id="rId10" xr:uid="{2D174328-57D4-4D9D-BA05-C311669A84F2}"/>
  </hyperlinks>
  <pageMargins left="0.7" right="0.7" top="0.75" bottom="0.75" header="0.3" footer="0.3"/>
  <pageSetup orientation="portrait" r:id="rId11"/>
  <extLst>
    <ext xmlns:x14="http://schemas.microsoft.com/office/spreadsheetml/2009/9/main" uri="{CCE6A557-97BC-4b89-ADB6-D9C93CAAB3DF}">
      <x14:dataValidations xmlns:xm="http://schemas.microsoft.com/office/excel/2006/main" count="1">
        <x14:dataValidation type="list" allowBlank="1" showInputMessage="1" showErrorMessage="1" xr:uid="{C48AC6E7-98F4-440D-9617-CFE37752B41E}">
          <x14:formula1>
            <xm:f>'Inflation Factor and Modifiers'!#REF!</xm:f>
          </x14:formula1>
          <xm:sqref>H14:H19 H4:H12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586F6-1F5A-401C-9D52-6375FC3CFDCD}">
  <dimension ref="A1:U22"/>
  <sheetViews>
    <sheetView topLeftCell="C1" workbookViewId="0">
      <selection activeCell="O2" sqref="O1:AQ1048576"/>
    </sheetView>
  </sheetViews>
  <sheetFormatPr defaultRowHeight="14.45"/>
  <cols>
    <col min="1" max="1" width="35.85546875" customWidth="1"/>
    <col min="2" max="2" width="13.28515625" customWidth="1"/>
    <col min="3" max="3" width="20.5703125" customWidth="1"/>
    <col min="4" max="4" width="14.5703125" customWidth="1"/>
    <col min="5" max="5" width="9.140625" customWidth="1"/>
    <col min="6" max="6" width="5.85546875" customWidth="1"/>
    <col min="7" max="7" width="12.140625" customWidth="1"/>
    <col min="8" max="8" width="17.85546875" customWidth="1"/>
    <col min="9" max="9" width="16.140625" customWidth="1"/>
    <col min="10" max="10" width="10.42578125" customWidth="1"/>
    <col min="11" max="11" width="11" customWidth="1"/>
    <col min="12" max="12" width="13.42578125" customWidth="1"/>
    <col min="13" max="13" width="12.85546875" customWidth="1"/>
    <col min="14" max="14" width="5.140625" customWidth="1"/>
    <col min="15" max="15" width="11.5703125" customWidth="1"/>
    <col min="16" max="16" width="4" customWidth="1"/>
    <col min="17" max="17" width="15.7109375" customWidth="1"/>
    <col min="18" max="18" width="4" customWidth="1"/>
    <col min="19" max="19" width="17" customWidth="1"/>
    <col min="20" max="20" width="4.140625" customWidth="1"/>
    <col min="21" max="21" width="17.42578125" customWidth="1"/>
  </cols>
  <sheetData>
    <row r="1" spans="1:21">
      <c r="C1" s="99"/>
      <c r="D1" s="99"/>
      <c r="E1" s="99"/>
      <c r="O1" s="98" t="s">
        <v>17</v>
      </c>
      <c r="P1" s="98"/>
      <c r="Q1" s="98"/>
      <c r="S1" s="98" t="s">
        <v>18</v>
      </c>
      <c r="T1" s="98"/>
      <c r="U1" s="98"/>
    </row>
    <row r="3" spans="1:21" ht="46.5" customHeight="1">
      <c r="A3" s="49" t="s">
        <v>19</v>
      </c>
      <c r="B3" s="50" t="s">
        <v>20</v>
      </c>
      <c r="C3" s="49" t="s">
        <v>21</v>
      </c>
      <c r="D3" s="49" t="s">
        <v>22</v>
      </c>
      <c r="E3" s="49" t="s">
        <v>16</v>
      </c>
      <c r="F3" s="51" t="s">
        <v>23</v>
      </c>
      <c r="G3" s="50" t="s">
        <v>24</v>
      </c>
      <c r="H3" s="50" t="s">
        <v>25</v>
      </c>
      <c r="I3" s="50" t="s">
        <v>26</v>
      </c>
      <c r="J3" s="50" t="s">
        <v>27</v>
      </c>
      <c r="K3" s="52" t="s">
        <v>28</v>
      </c>
      <c r="L3" s="50" t="s">
        <v>29</v>
      </c>
      <c r="M3" s="53" t="s">
        <v>30</v>
      </c>
      <c r="O3" s="46" t="s">
        <v>31</v>
      </c>
      <c r="Q3" s="54" t="s">
        <v>32</v>
      </c>
      <c r="S3" s="54" t="s">
        <v>3</v>
      </c>
      <c r="U3" s="54" t="s">
        <v>4</v>
      </c>
    </row>
    <row r="4" spans="1:21" ht="29.1" customHeight="1">
      <c r="A4" s="1" t="s">
        <v>71</v>
      </c>
      <c r="B4" s="1" t="s">
        <v>7</v>
      </c>
      <c r="C4" s="3" t="s">
        <v>72</v>
      </c>
      <c r="D4" s="13" t="s">
        <v>73</v>
      </c>
      <c r="E4" s="3">
        <v>2025</v>
      </c>
      <c r="F4" s="3" t="s">
        <v>37</v>
      </c>
      <c r="G4" s="21">
        <v>1110</v>
      </c>
      <c r="H4" s="75">
        <v>0.2</v>
      </c>
      <c r="I4" s="32">
        <f>(G4*(_xlfn.XLOOKUP(E4, Table1[Year], Table1[ENR CCI-LA (USE THIS escalation factor to inflate to 2024$)])))*(1+H4)</f>
        <v>1332</v>
      </c>
      <c r="J4" s="3">
        <v>10</v>
      </c>
      <c r="K4" s="3">
        <v>20</v>
      </c>
      <c r="L4" s="6">
        <f>(I4)/K4</f>
        <v>66.599999999999994</v>
      </c>
      <c r="M4" s="6">
        <f>(I4)/J4</f>
        <v>133.19999999999999</v>
      </c>
      <c r="O4" s="42"/>
      <c r="Q4" s="32">
        <f>O4*I4</f>
        <v>0</v>
      </c>
      <c r="S4" s="32">
        <f>$O4*($L4)</f>
        <v>0</v>
      </c>
      <c r="U4" s="32">
        <f>$O4*($M4)</f>
        <v>0</v>
      </c>
    </row>
    <row r="5" spans="1:21">
      <c r="A5" s="1" t="s">
        <v>74</v>
      </c>
      <c r="B5" s="1" t="s">
        <v>7</v>
      </c>
      <c r="C5" s="3" t="s">
        <v>75</v>
      </c>
      <c r="D5" s="2" t="s">
        <v>76</v>
      </c>
      <c r="E5" s="3">
        <v>2025</v>
      </c>
      <c r="F5" s="3" t="s">
        <v>37</v>
      </c>
      <c r="G5" s="21">
        <v>1000</v>
      </c>
      <c r="H5" s="76">
        <v>0.2</v>
      </c>
      <c r="I5" s="41">
        <f>(G5*(_xlfn.XLOOKUP(E5, Table1[Year], Table1[ENR CCI-LA (USE THIS escalation factor to inflate to 2024$)])))*(1+H5)</f>
        <v>1200</v>
      </c>
      <c r="J5" s="3">
        <v>10</v>
      </c>
      <c r="K5" s="3">
        <v>20</v>
      </c>
      <c r="L5" s="6">
        <f>(I5)/K5</f>
        <v>60</v>
      </c>
      <c r="M5" s="6">
        <f>(I5)/J5</f>
        <v>120</v>
      </c>
      <c r="O5" s="42"/>
      <c r="Q5" s="32">
        <f t="shared" ref="Q5:Q20" si="0">O5*I5</f>
        <v>0</v>
      </c>
      <c r="S5" s="32">
        <f t="shared" ref="S5:S20" si="1">$O5*($L5)</f>
        <v>0</v>
      </c>
      <c r="U5" s="32">
        <f t="shared" ref="U5:U20" si="2">$O5*($M5)</f>
        <v>0</v>
      </c>
    </row>
    <row r="6" spans="1:21">
      <c r="O6" s="42"/>
      <c r="Q6" s="32">
        <f t="shared" si="0"/>
        <v>0</v>
      </c>
      <c r="S6" s="32">
        <f t="shared" si="1"/>
        <v>0</v>
      </c>
      <c r="U6" s="32">
        <f t="shared" si="2"/>
        <v>0</v>
      </c>
    </row>
    <row r="7" spans="1:21">
      <c r="O7" s="42"/>
      <c r="Q7" s="32">
        <f t="shared" si="0"/>
        <v>0</v>
      </c>
      <c r="S7" s="32">
        <f t="shared" si="1"/>
        <v>0</v>
      </c>
      <c r="U7" s="32">
        <f t="shared" si="2"/>
        <v>0</v>
      </c>
    </row>
    <row r="8" spans="1:21">
      <c r="O8" s="42"/>
      <c r="Q8" s="32">
        <f t="shared" si="0"/>
        <v>0</v>
      </c>
      <c r="S8" s="32">
        <f t="shared" si="1"/>
        <v>0</v>
      </c>
      <c r="U8" s="32">
        <f t="shared" si="2"/>
        <v>0</v>
      </c>
    </row>
    <row r="9" spans="1:21">
      <c r="O9" s="43"/>
      <c r="Q9" s="32">
        <f t="shared" si="0"/>
        <v>0</v>
      </c>
      <c r="S9" s="32">
        <f t="shared" si="1"/>
        <v>0</v>
      </c>
      <c r="U9" s="32">
        <f t="shared" si="2"/>
        <v>0</v>
      </c>
    </row>
    <row r="10" spans="1:21">
      <c r="O10" s="42"/>
      <c r="Q10" s="32">
        <f t="shared" si="0"/>
        <v>0</v>
      </c>
      <c r="S10" s="32">
        <f t="shared" si="1"/>
        <v>0</v>
      </c>
      <c r="U10" s="32">
        <f t="shared" si="2"/>
        <v>0</v>
      </c>
    </row>
    <row r="11" spans="1:21">
      <c r="O11" s="43"/>
      <c r="Q11" s="32">
        <f t="shared" si="0"/>
        <v>0</v>
      </c>
      <c r="S11" s="32">
        <f t="shared" si="1"/>
        <v>0</v>
      </c>
      <c r="U11" s="32">
        <f t="shared" si="2"/>
        <v>0</v>
      </c>
    </row>
    <row r="12" spans="1:21">
      <c r="O12" s="42"/>
      <c r="Q12" s="32">
        <f t="shared" si="0"/>
        <v>0</v>
      </c>
      <c r="S12" s="32">
        <f t="shared" si="1"/>
        <v>0</v>
      </c>
      <c r="U12" s="32">
        <f t="shared" si="2"/>
        <v>0</v>
      </c>
    </row>
    <row r="13" spans="1:21">
      <c r="O13" s="43"/>
      <c r="Q13" s="32">
        <f t="shared" si="0"/>
        <v>0</v>
      </c>
      <c r="S13" s="32">
        <f t="shared" si="1"/>
        <v>0</v>
      </c>
      <c r="U13" s="32">
        <f t="shared" si="2"/>
        <v>0</v>
      </c>
    </row>
    <row r="14" spans="1:21">
      <c r="O14" s="43"/>
      <c r="Q14" s="32">
        <f t="shared" si="0"/>
        <v>0</v>
      </c>
      <c r="S14" s="32">
        <f>$O14*($L14)</f>
        <v>0</v>
      </c>
      <c r="U14" s="32">
        <f t="shared" si="2"/>
        <v>0</v>
      </c>
    </row>
    <row r="15" spans="1:21">
      <c r="O15" s="42"/>
      <c r="Q15" s="32">
        <f t="shared" si="0"/>
        <v>0</v>
      </c>
      <c r="S15" s="32">
        <f t="shared" si="1"/>
        <v>0</v>
      </c>
      <c r="U15" s="32">
        <f t="shared" si="2"/>
        <v>0</v>
      </c>
    </row>
    <row r="16" spans="1:21">
      <c r="O16" s="42"/>
      <c r="Q16" s="32">
        <f t="shared" si="0"/>
        <v>0</v>
      </c>
      <c r="S16" s="32">
        <f t="shared" si="1"/>
        <v>0</v>
      </c>
      <c r="U16" s="32">
        <f t="shared" si="2"/>
        <v>0</v>
      </c>
    </row>
    <row r="17" spans="15:21">
      <c r="O17" s="42"/>
      <c r="Q17" s="32">
        <f t="shared" si="0"/>
        <v>0</v>
      </c>
      <c r="S17" s="32">
        <f t="shared" si="1"/>
        <v>0</v>
      </c>
      <c r="U17" s="32">
        <f t="shared" si="2"/>
        <v>0</v>
      </c>
    </row>
    <row r="18" spans="15:21">
      <c r="O18" s="42"/>
      <c r="Q18" s="32">
        <f t="shared" si="0"/>
        <v>0</v>
      </c>
      <c r="S18" s="32">
        <f t="shared" si="1"/>
        <v>0</v>
      </c>
      <c r="U18" s="32">
        <f t="shared" si="2"/>
        <v>0</v>
      </c>
    </row>
    <row r="19" spans="15:21">
      <c r="O19" s="43"/>
      <c r="Q19" s="32">
        <f t="shared" si="0"/>
        <v>0</v>
      </c>
      <c r="S19" s="32">
        <f t="shared" si="1"/>
        <v>0</v>
      </c>
      <c r="U19" s="32">
        <f t="shared" si="2"/>
        <v>0</v>
      </c>
    </row>
    <row r="20" spans="15:21">
      <c r="O20" s="42"/>
      <c r="Q20" s="41">
        <f t="shared" si="0"/>
        <v>0</v>
      </c>
      <c r="S20" s="32">
        <f t="shared" si="1"/>
        <v>0</v>
      </c>
      <c r="U20" s="32">
        <f t="shared" si="2"/>
        <v>0</v>
      </c>
    </row>
    <row r="21" spans="15:21">
      <c r="Q21" s="55" t="s">
        <v>41</v>
      </c>
      <c r="S21" s="55" t="s">
        <v>3</v>
      </c>
      <c r="U21" s="55" t="s">
        <v>4</v>
      </c>
    </row>
    <row r="22" spans="15:21">
      <c r="Q22" s="25">
        <f>SUM(Q4:Q20)</f>
        <v>0</v>
      </c>
      <c r="S22" s="25">
        <f>SUM(S4:S20)</f>
        <v>0</v>
      </c>
      <c r="U22" s="25">
        <f>SUM(U4:U20)</f>
        <v>0</v>
      </c>
    </row>
  </sheetData>
  <mergeCells count="3">
    <mergeCell ref="O1:Q1"/>
    <mergeCell ref="C1:E1"/>
    <mergeCell ref="S1:U1"/>
  </mergeCells>
  <conditionalFormatting sqref="A4:M5">
    <cfRule type="expression" dxfId="15" priority="2">
      <formula>MOD(ROW(),2)=0</formula>
    </cfRule>
  </conditionalFormatting>
  <conditionalFormatting sqref="O4:O20 Q4:Q20 S4:S20 U4:U20">
    <cfRule type="expression" dxfId="14" priority="1">
      <formula>MOD(ROW(),2)=0</formula>
    </cfRule>
  </conditionalFormatting>
  <hyperlinks>
    <hyperlink ref="D5" r:id="rId1" xr:uid="{C66D1193-4C43-42D6-B8B7-0126B6390081}"/>
    <hyperlink ref="D4" r:id="rId2" display="https://easyrecreation.com/easy-bus-cube/" xr:uid="{B6AE96DE-49EF-474E-8AD4-B9B760440305}"/>
    <hyperlink ref="D4:D5" r:id="rId3" display="Bus Cubes" xr:uid="{8A1B118C-7D75-4EF1-B344-6AF56E8E9A5F}"/>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65596C0-808A-40F1-854A-BF6BA1190835}">
          <x14:formula1>
            <xm:f>'Inflation Factor and Modifiers'!#REF!</xm:f>
          </x14:formula1>
          <xm:sqref>H4:H5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DABE1-F1A9-400B-90A1-DC70561A103F}">
  <dimension ref="A1:U21"/>
  <sheetViews>
    <sheetView tabSelected="1" topLeftCell="C1" zoomScale="85" zoomScaleNormal="85" workbookViewId="0">
      <selection activeCell="U11" sqref="U11"/>
    </sheetView>
  </sheetViews>
  <sheetFormatPr defaultRowHeight="14.45"/>
  <cols>
    <col min="1" max="1" width="35.85546875" customWidth="1"/>
    <col min="2" max="2" width="14" customWidth="1"/>
    <col min="3" max="3" width="42.140625" customWidth="1"/>
    <col min="4" max="4" width="27.42578125" customWidth="1"/>
    <col min="5" max="5" width="9.140625" customWidth="1"/>
    <col min="6" max="6" width="5.85546875" customWidth="1"/>
    <col min="7" max="7" width="12.140625" customWidth="1"/>
    <col min="8" max="8" width="17.85546875" customWidth="1"/>
    <col min="9" max="9" width="16.140625" customWidth="1"/>
    <col min="10" max="10" width="10.42578125" customWidth="1"/>
    <col min="11" max="11" width="11" customWidth="1"/>
    <col min="12" max="12" width="13.42578125" customWidth="1"/>
    <col min="13" max="13" width="12.85546875" customWidth="1"/>
    <col min="14" max="14" width="5.140625" customWidth="1"/>
    <col min="15" max="15" width="11.5703125" customWidth="1"/>
    <col min="16" max="16" width="4" customWidth="1"/>
    <col min="17" max="17" width="15.7109375" customWidth="1"/>
    <col min="18" max="18" width="4" customWidth="1"/>
    <col min="19" max="19" width="17" customWidth="1"/>
    <col min="20" max="20" width="4.140625" customWidth="1"/>
    <col min="21" max="21" width="17.42578125" customWidth="1"/>
  </cols>
  <sheetData>
    <row r="1" spans="1:21">
      <c r="C1" s="99"/>
      <c r="D1" s="99"/>
      <c r="E1" s="99"/>
      <c r="O1" s="98" t="s">
        <v>17</v>
      </c>
      <c r="P1" s="98"/>
      <c r="Q1" s="98"/>
      <c r="S1" s="98" t="s">
        <v>18</v>
      </c>
      <c r="T1" s="98"/>
      <c r="U1" s="98"/>
    </row>
    <row r="3" spans="1:21" ht="43.5" customHeight="1">
      <c r="A3" s="49" t="s">
        <v>19</v>
      </c>
      <c r="B3" s="50" t="s">
        <v>20</v>
      </c>
      <c r="C3" s="49" t="s">
        <v>21</v>
      </c>
      <c r="D3" s="49" t="s">
        <v>22</v>
      </c>
      <c r="E3" s="49" t="s">
        <v>16</v>
      </c>
      <c r="F3" s="51" t="s">
        <v>23</v>
      </c>
      <c r="G3" s="50" t="s">
        <v>24</v>
      </c>
      <c r="H3" s="50" t="s">
        <v>25</v>
      </c>
      <c r="I3" s="50" t="s">
        <v>26</v>
      </c>
      <c r="J3" s="50" t="s">
        <v>27</v>
      </c>
      <c r="K3" s="52" t="s">
        <v>28</v>
      </c>
      <c r="L3" s="50" t="s">
        <v>29</v>
      </c>
      <c r="M3" s="53" t="s">
        <v>30</v>
      </c>
      <c r="O3" s="46" t="s">
        <v>31</v>
      </c>
      <c r="Q3" s="54" t="s">
        <v>32</v>
      </c>
      <c r="S3" s="54" t="s">
        <v>3</v>
      </c>
      <c r="U3" s="54" t="s">
        <v>4</v>
      </c>
    </row>
    <row r="4" spans="1:21">
      <c r="A4" s="1" t="s">
        <v>77</v>
      </c>
      <c r="B4" s="1" t="s">
        <v>56</v>
      </c>
      <c r="C4" s="28" t="s">
        <v>44</v>
      </c>
      <c r="D4" s="47" t="s">
        <v>45</v>
      </c>
      <c r="E4" s="1">
        <v>2023</v>
      </c>
      <c r="F4" s="1" t="s">
        <v>37</v>
      </c>
      <c r="G4" s="23">
        <v>35881</v>
      </c>
      <c r="H4" s="75">
        <v>0</v>
      </c>
      <c r="I4" s="31">
        <f>(G4*(_xlfn.XLOOKUP(E4, Table1[Year], Table1[ENR CCI-LA (USE THIS escalation factor to inflate to 2024$)])))*(1+H4)</f>
        <v>37388.002</v>
      </c>
      <c r="J4" s="1">
        <v>15</v>
      </c>
      <c r="K4" s="1">
        <v>25</v>
      </c>
      <c r="L4" s="23">
        <f t="shared" ref="L4:L7" si="0">I4/K4</f>
        <v>1495.52008</v>
      </c>
      <c r="M4" s="23">
        <f t="shared" ref="M4:M7" si="1">I4/J4</f>
        <v>2492.5334666666668</v>
      </c>
      <c r="O4" s="42"/>
      <c r="Q4" s="32">
        <f>O4*I4</f>
        <v>0</v>
      </c>
      <c r="S4" s="32">
        <f>$O4*($L4)</f>
        <v>0</v>
      </c>
      <c r="U4" s="32">
        <f>$O4*($M4)</f>
        <v>0</v>
      </c>
    </row>
    <row r="5" spans="1:21">
      <c r="A5" s="1" t="s">
        <v>78</v>
      </c>
      <c r="B5" s="1" t="s">
        <v>79</v>
      </c>
      <c r="C5" s="28" t="s">
        <v>44</v>
      </c>
      <c r="D5" s="47" t="s">
        <v>45</v>
      </c>
      <c r="E5" s="1">
        <v>2024</v>
      </c>
      <c r="F5" s="1" t="s">
        <v>46</v>
      </c>
      <c r="G5" s="23">
        <v>23.77</v>
      </c>
      <c r="H5" s="75">
        <v>0</v>
      </c>
      <c r="I5" s="31">
        <f>(G5*(_xlfn.XLOOKUP(E5, Table1[Year], Table1[ENR CCI-LA (USE THIS escalation factor to inflate to 2024$)])))*(1+H5)</f>
        <v>23.77</v>
      </c>
      <c r="J5" s="1">
        <v>3</v>
      </c>
      <c r="K5" s="1">
        <v>5</v>
      </c>
      <c r="L5" s="23">
        <f t="shared" si="0"/>
        <v>4.7539999999999996</v>
      </c>
      <c r="M5" s="23">
        <f t="shared" si="1"/>
        <v>7.9233333333333329</v>
      </c>
      <c r="O5" s="42"/>
      <c r="Q5" s="32">
        <f t="shared" ref="Q5:Q19" si="2">O5*I5</f>
        <v>0</v>
      </c>
      <c r="S5" s="32">
        <f>$O5*($L5)</f>
        <v>0</v>
      </c>
      <c r="U5" s="32">
        <f t="shared" ref="U5:U19" si="3">$O5*($M5)</f>
        <v>0</v>
      </c>
    </row>
    <row r="6" spans="1:21">
      <c r="A6" s="1" t="s">
        <v>80</v>
      </c>
      <c r="B6" s="1" t="s">
        <v>79</v>
      </c>
      <c r="C6" s="28" t="s">
        <v>44</v>
      </c>
      <c r="D6" s="47" t="s">
        <v>45</v>
      </c>
      <c r="E6" s="1">
        <v>2024</v>
      </c>
      <c r="F6" s="1" t="s">
        <v>46</v>
      </c>
      <c r="G6" s="23">
        <v>10.94</v>
      </c>
      <c r="H6" s="75">
        <v>0</v>
      </c>
      <c r="I6" s="31">
        <f>(G6*(_xlfn.XLOOKUP(E6, Table1[Year], Table1[ENR CCI-LA (USE THIS escalation factor to inflate to 2024$)])))*(1+H6)</f>
        <v>10.94</v>
      </c>
      <c r="J6" s="1">
        <v>3</v>
      </c>
      <c r="K6" s="1">
        <v>5</v>
      </c>
      <c r="L6" s="23">
        <v>1.3</v>
      </c>
      <c r="M6" s="23">
        <v>2.1666666666666665</v>
      </c>
      <c r="O6" s="42"/>
      <c r="Q6" s="32">
        <f t="shared" si="2"/>
        <v>0</v>
      </c>
      <c r="S6" s="32">
        <f t="shared" ref="S5:S19" si="4">$O6*($L6)</f>
        <v>0</v>
      </c>
      <c r="U6" s="32">
        <f t="shared" si="3"/>
        <v>0</v>
      </c>
    </row>
    <row r="7" spans="1:21">
      <c r="A7" s="1" t="s">
        <v>81</v>
      </c>
      <c r="B7" s="1" t="s">
        <v>56</v>
      </c>
      <c r="C7" s="28" t="s">
        <v>44</v>
      </c>
      <c r="D7" s="47" t="s">
        <v>45</v>
      </c>
      <c r="E7" s="1">
        <v>2024</v>
      </c>
      <c r="F7" s="1" t="s">
        <v>37</v>
      </c>
      <c r="G7" s="23">
        <v>8295.01</v>
      </c>
      <c r="H7" s="75">
        <v>0</v>
      </c>
      <c r="I7" s="31">
        <f>(G7*(_xlfn.XLOOKUP(E7, Table1[Year], Table1[ENR CCI-LA (USE THIS escalation factor to inflate to 2024$)])))*(1+H7)</f>
        <v>8295.01</v>
      </c>
      <c r="J7" s="1">
        <v>10</v>
      </c>
      <c r="K7" s="1">
        <v>15</v>
      </c>
      <c r="L7" s="23">
        <f t="shared" si="0"/>
        <v>553.00066666666669</v>
      </c>
      <c r="M7" s="23">
        <f t="shared" si="1"/>
        <v>829.50099999999998</v>
      </c>
      <c r="O7" s="42"/>
      <c r="Q7" s="32">
        <f t="shared" si="2"/>
        <v>0</v>
      </c>
      <c r="S7" s="32">
        <f t="shared" si="4"/>
        <v>0</v>
      </c>
      <c r="U7" s="32">
        <f t="shared" si="3"/>
        <v>0</v>
      </c>
    </row>
    <row r="8" spans="1:21" ht="29.1">
      <c r="A8" s="1" t="s">
        <v>82</v>
      </c>
      <c r="B8" s="1" t="s">
        <v>83</v>
      </c>
      <c r="C8" s="3" t="s">
        <v>84</v>
      </c>
      <c r="D8" s="48" t="s">
        <v>85</v>
      </c>
      <c r="E8" s="1">
        <v>2025</v>
      </c>
      <c r="F8" s="1" t="s">
        <v>37</v>
      </c>
      <c r="G8" s="23">
        <v>2000</v>
      </c>
      <c r="H8" s="75">
        <v>0.2</v>
      </c>
      <c r="I8" s="31">
        <f>(G8*(_xlfn.XLOOKUP(E8, Table1[Year], Table1[ENR CCI-LA (USE THIS escalation factor to inflate to 2024$)])))*(1+H8)</f>
        <v>2400</v>
      </c>
      <c r="J8" s="1">
        <v>5</v>
      </c>
      <c r="K8" s="1">
        <v>10</v>
      </c>
      <c r="L8" s="23">
        <f>I8/K8</f>
        <v>240</v>
      </c>
      <c r="M8" s="23">
        <f>I8/J8</f>
        <v>480</v>
      </c>
      <c r="O8" s="43"/>
      <c r="Q8" s="32">
        <f t="shared" si="2"/>
        <v>0</v>
      </c>
      <c r="S8" s="32">
        <f t="shared" si="4"/>
        <v>0</v>
      </c>
      <c r="U8" s="32">
        <f t="shared" si="3"/>
        <v>0</v>
      </c>
    </row>
    <row r="9" spans="1:21" ht="29.1">
      <c r="A9" s="1" t="s">
        <v>86</v>
      </c>
      <c r="B9" s="1" t="s">
        <v>83</v>
      </c>
      <c r="C9" s="3" t="s">
        <v>84</v>
      </c>
      <c r="D9" s="48" t="s">
        <v>85</v>
      </c>
      <c r="E9" s="1">
        <v>2025</v>
      </c>
      <c r="F9" s="1" t="s">
        <v>37</v>
      </c>
      <c r="G9" s="23">
        <v>3000</v>
      </c>
      <c r="H9" s="76">
        <v>0.2</v>
      </c>
      <c r="I9" s="31">
        <f>(G9*(_xlfn.XLOOKUP(E9, Table1[Year], Table1[ENR CCI-LA (USE THIS escalation factor to inflate to 2024$)])))*(1+H9)</f>
        <v>3600</v>
      </c>
      <c r="J9" s="1">
        <v>5</v>
      </c>
      <c r="K9" s="1">
        <v>10</v>
      </c>
      <c r="L9" s="23">
        <f>I9/K9</f>
        <v>360</v>
      </c>
      <c r="M9" s="23">
        <f>I9/J9</f>
        <v>720</v>
      </c>
      <c r="O9" s="42"/>
      <c r="Q9" s="32">
        <f t="shared" si="2"/>
        <v>0</v>
      </c>
      <c r="S9" s="32">
        <f t="shared" si="4"/>
        <v>0</v>
      </c>
      <c r="U9" s="32">
        <f t="shared" si="3"/>
        <v>0</v>
      </c>
    </row>
    <row r="10" spans="1:21" ht="29.1">
      <c r="A10" s="1" t="s">
        <v>87</v>
      </c>
      <c r="B10" s="1" t="s">
        <v>83</v>
      </c>
      <c r="C10" s="3" t="s">
        <v>84</v>
      </c>
      <c r="D10" s="48" t="s">
        <v>85</v>
      </c>
      <c r="E10" s="1">
        <v>2025</v>
      </c>
      <c r="F10" s="1" t="s">
        <v>37</v>
      </c>
      <c r="G10" s="23">
        <v>1300</v>
      </c>
      <c r="H10" s="75">
        <v>0.2</v>
      </c>
      <c r="I10" s="31">
        <f>(G10*(_xlfn.XLOOKUP(E10, Table1[Year], Table1[ENR CCI-LA (USE THIS escalation factor to inflate to 2024$)])))*(1+H10)</f>
        <v>1560</v>
      </c>
      <c r="J10" s="1">
        <v>5</v>
      </c>
      <c r="K10" s="1">
        <v>10</v>
      </c>
      <c r="L10" s="23">
        <f t="shared" ref="L10:L11" si="5">I10/K10</f>
        <v>156</v>
      </c>
      <c r="M10" s="23">
        <f t="shared" ref="M10:M11" si="6">I10/J10</f>
        <v>312</v>
      </c>
      <c r="O10" s="43"/>
      <c r="Q10" s="32">
        <f t="shared" si="2"/>
        <v>0</v>
      </c>
      <c r="S10" s="32">
        <f t="shared" si="4"/>
        <v>0</v>
      </c>
      <c r="U10" s="32">
        <f t="shared" si="3"/>
        <v>0</v>
      </c>
    </row>
    <row r="11" spans="1:21" ht="29.1">
      <c r="A11" s="1" t="s">
        <v>88</v>
      </c>
      <c r="B11" s="1" t="s">
        <v>83</v>
      </c>
      <c r="C11" s="3" t="s">
        <v>89</v>
      </c>
      <c r="D11" s="48" t="s">
        <v>85</v>
      </c>
      <c r="E11" s="1">
        <v>2018</v>
      </c>
      <c r="F11" s="1" t="s">
        <v>37</v>
      </c>
      <c r="G11" s="23">
        <v>7500</v>
      </c>
      <c r="H11" s="76">
        <v>0.2</v>
      </c>
      <c r="I11" s="41">
        <f>(G11*(_xlfn.XLOOKUP(E11, Table1[Year], Table1[ENR CCI-LA (USE THIS escalation factor to inflate to 2024$)])))*(1+H11)</f>
        <v>11534.94</v>
      </c>
      <c r="J11" s="1">
        <v>5</v>
      </c>
      <c r="K11" s="1">
        <v>10</v>
      </c>
      <c r="L11" s="23">
        <f t="shared" si="5"/>
        <v>1153.4940000000001</v>
      </c>
      <c r="M11" s="23">
        <f t="shared" si="6"/>
        <v>2306.9880000000003</v>
      </c>
      <c r="O11" s="42"/>
      <c r="Q11" s="32">
        <f t="shared" si="2"/>
        <v>0</v>
      </c>
      <c r="S11" s="32">
        <f t="shared" si="4"/>
        <v>0</v>
      </c>
      <c r="U11" s="32">
        <f>$O11*($M11)</f>
        <v>0</v>
      </c>
    </row>
    <row r="12" spans="1:21">
      <c r="O12" s="43"/>
      <c r="Q12" s="32">
        <f t="shared" si="2"/>
        <v>0</v>
      </c>
      <c r="S12" s="32">
        <f t="shared" si="4"/>
        <v>0</v>
      </c>
      <c r="U12" s="32">
        <f t="shared" si="3"/>
        <v>0</v>
      </c>
    </row>
    <row r="13" spans="1:21">
      <c r="O13" s="43"/>
      <c r="Q13" s="32">
        <f t="shared" si="2"/>
        <v>0</v>
      </c>
      <c r="S13" s="32">
        <f>$O13*($L13)</f>
        <v>0</v>
      </c>
      <c r="U13" s="32">
        <f t="shared" si="3"/>
        <v>0</v>
      </c>
    </row>
    <row r="14" spans="1:21">
      <c r="O14" s="42"/>
      <c r="Q14" s="32">
        <f t="shared" si="2"/>
        <v>0</v>
      </c>
      <c r="S14" s="32">
        <f t="shared" si="4"/>
        <v>0</v>
      </c>
      <c r="U14" s="32">
        <f t="shared" si="3"/>
        <v>0</v>
      </c>
    </row>
    <row r="15" spans="1:21">
      <c r="O15" s="42"/>
      <c r="Q15" s="32">
        <f t="shared" si="2"/>
        <v>0</v>
      </c>
      <c r="S15" s="32">
        <f t="shared" si="4"/>
        <v>0</v>
      </c>
      <c r="U15" s="32">
        <f t="shared" si="3"/>
        <v>0</v>
      </c>
    </row>
    <row r="16" spans="1:21">
      <c r="O16" s="42"/>
      <c r="Q16" s="32">
        <f t="shared" si="2"/>
        <v>0</v>
      </c>
      <c r="S16" s="32">
        <f t="shared" si="4"/>
        <v>0</v>
      </c>
      <c r="U16" s="32">
        <f t="shared" si="3"/>
        <v>0</v>
      </c>
    </row>
    <row r="17" spans="15:21">
      <c r="O17" s="42"/>
      <c r="Q17" s="32">
        <f t="shared" si="2"/>
        <v>0</v>
      </c>
      <c r="S17" s="32">
        <f t="shared" si="4"/>
        <v>0</v>
      </c>
      <c r="U17" s="32">
        <f t="shared" si="3"/>
        <v>0</v>
      </c>
    </row>
    <row r="18" spans="15:21">
      <c r="O18" s="43"/>
      <c r="Q18" s="32">
        <f t="shared" si="2"/>
        <v>0</v>
      </c>
      <c r="S18" s="32">
        <f t="shared" si="4"/>
        <v>0</v>
      </c>
      <c r="U18" s="32">
        <f t="shared" si="3"/>
        <v>0</v>
      </c>
    </row>
    <row r="19" spans="15:21">
      <c r="O19" s="42"/>
      <c r="Q19" s="41">
        <f t="shared" si="2"/>
        <v>0</v>
      </c>
      <c r="S19" s="32">
        <f t="shared" si="4"/>
        <v>0</v>
      </c>
      <c r="U19" s="32">
        <f t="shared" si="3"/>
        <v>0</v>
      </c>
    </row>
    <row r="20" spans="15:21">
      <c r="Q20" s="55" t="s">
        <v>41</v>
      </c>
      <c r="S20" s="55" t="s">
        <v>3</v>
      </c>
      <c r="U20" s="55" t="s">
        <v>4</v>
      </c>
    </row>
    <row r="21" spans="15:21">
      <c r="Q21" s="25">
        <f>SUM(Q4:Q19)</f>
        <v>0</v>
      </c>
      <c r="S21" s="25">
        <f>SUM(S4:S19)</f>
        <v>0</v>
      </c>
      <c r="U21" s="25">
        <f>SUM(U4:U19)</f>
        <v>0</v>
      </c>
    </row>
  </sheetData>
  <mergeCells count="3">
    <mergeCell ref="O1:Q1"/>
    <mergeCell ref="C1:E1"/>
    <mergeCell ref="S1:U1"/>
  </mergeCells>
  <conditionalFormatting sqref="A4:M11 O4:O19 Q4:Q19 S4:S19 U4:U19">
    <cfRule type="expression" dxfId="13" priority="2">
      <formula>MOD(ROW(),2)=0</formula>
    </cfRule>
  </conditionalFormatting>
  <hyperlinks>
    <hyperlink ref="D10" r:id="rId1" xr:uid="{D3F86713-BD97-4C03-8486-CE5054226BF4}"/>
    <hyperlink ref="D11" r:id="rId2" xr:uid="{5A2821E5-2DB0-476A-9A0F-773CFEF78DAB}"/>
    <hyperlink ref="D8" r:id="rId3" xr:uid="{843BF29C-B729-4133-B933-A24A554AE1D0}"/>
    <hyperlink ref="D9" r:id="rId4" xr:uid="{E3C11175-C12E-46AB-870A-A756ED0CAE52}"/>
    <hyperlink ref="D4" r:id="rId5" xr:uid="{90F907A2-ED6F-4F0D-9C9D-2B24194DAE44}"/>
    <hyperlink ref="D5" r:id="rId6" xr:uid="{4B50E473-BA90-4EDF-BEA5-6D5A122E12EF}"/>
    <hyperlink ref="D7" r:id="rId7" xr:uid="{5C1D7D27-C64F-479D-9EC3-E8F3BBA16B4C}"/>
    <hyperlink ref="D6" r:id="rId8" xr:uid="{9E3801A6-7C64-4D3C-9231-D52C7576B547}"/>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BC1313A-C0BD-40AD-9B8C-8AEF33F25918}">
          <x14:formula1>
            <xm:f>'Inflation Factor and Modifiers'!#REF!</xm:f>
          </x14:formula1>
          <xm:sqref>H4:H11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F58F6-6CDE-46D3-8D7E-9EE23FF862C5}">
  <dimension ref="A1:U22"/>
  <sheetViews>
    <sheetView zoomScale="85" zoomScaleNormal="85" workbookViewId="0">
      <selection activeCell="O2" sqref="O1:AQ1048576"/>
    </sheetView>
  </sheetViews>
  <sheetFormatPr defaultRowHeight="14.45"/>
  <cols>
    <col min="1" max="1" width="35.85546875" customWidth="1"/>
    <col min="2" max="2" width="13.28515625" customWidth="1"/>
    <col min="3" max="3" width="20.5703125" style="14" customWidth="1"/>
    <col min="4" max="4" width="14.5703125" customWidth="1"/>
    <col min="5" max="5" width="9.140625" customWidth="1"/>
    <col min="6" max="6" width="5.85546875" customWidth="1"/>
    <col min="7" max="7" width="12.140625" customWidth="1"/>
    <col min="8" max="8" width="17.85546875" customWidth="1"/>
    <col min="9" max="9" width="16.140625" customWidth="1"/>
    <col min="10" max="10" width="10.42578125" customWidth="1"/>
    <col min="11" max="11" width="11" customWidth="1"/>
    <col min="12" max="12" width="13.42578125" customWidth="1"/>
    <col min="13" max="13" width="12.85546875" customWidth="1"/>
    <col min="14" max="14" width="5.140625" customWidth="1"/>
    <col min="15" max="15" width="11.5703125" customWidth="1"/>
    <col min="16" max="16" width="4" customWidth="1"/>
    <col min="17" max="17" width="15.7109375" customWidth="1"/>
    <col min="18" max="18" width="4" customWidth="1"/>
    <col min="19" max="19" width="17" customWidth="1"/>
    <col min="20" max="20" width="4.140625" customWidth="1"/>
    <col min="21" max="21" width="17.42578125" customWidth="1"/>
  </cols>
  <sheetData>
    <row r="1" spans="1:21">
      <c r="C1" s="99"/>
      <c r="D1" s="99"/>
      <c r="E1" s="99"/>
      <c r="O1" s="98" t="s">
        <v>17</v>
      </c>
      <c r="P1" s="98"/>
      <c r="Q1" s="98"/>
      <c r="S1" s="98" t="s">
        <v>18</v>
      </c>
      <c r="T1" s="98"/>
      <c r="U1" s="98"/>
    </row>
    <row r="2" spans="1:21">
      <c r="C2"/>
    </row>
    <row r="3" spans="1:21" ht="57.95">
      <c r="A3" s="49" t="s">
        <v>19</v>
      </c>
      <c r="B3" s="50" t="s">
        <v>20</v>
      </c>
      <c r="C3" s="49" t="s">
        <v>21</v>
      </c>
      <c r="D3" s="49" t="s">
        <v>22</v>
      </c>
      <c r="E3" s="49" t="s">
        <v>16</v>
      </c>
      <c r="F3" s="51" t="s">
        <v>23</v>
      </c>
      <c r="G3" s="50" t="s">
        <v>24</v>
      </c>
      <c r="H3" s="50" t="s">
        <v>25</v>
      </c>
      <c r="I3" s="50" t="s">
        <v>26</v>
      </c>
      <c r="J3" s="50" t="s">
        <v>27</v>
      </c>
      <c r="K3" s="52" t="s">
        <v>28</v>
      </c>
      <c r="L3" s="50" t="s">
        <v>29</v>
      </c>
      <c r="M3" s="53" t="s">
        <v>30</v>
      </c>
      <c r="O3" s="46" t="s">
        <v>31</v>
      </c>
      <c r="Q3" s="54" t="s">
        <v>32</v>
      </c>
      <c r="S3" s="54" t="s">
        <v>3</v>
      </c>
      <c r="U3" s="54" t="s">
        <v>4</v>
      </c>
    </row>
    <row r="4" spans="1:21" ht="29.1">
      <c r="A4" s="1" t="s">
        <v>90</v>
      </c>
      <c r="B4" s="1" t="s">
        <v>9</v>
      </c>
      <c r="C4" s="3" t="s">
        <v>91</v>
      </c>
      <c r="D4" s="48" t="s">
        <v>85</v>
      </c>
      <c r="E4" s="3">
        <v>2025</v>
      </c>
      <c r="F4" s="3" t="s">
        <v>37</v>
      </c>
      <c r="G4" s="11">
        <v>1064</v>
      </c>
      <c r="H4" s="75">
        <v>0.2</v>
      </c>
      <c r="I4" s="31">
        <f>(G4*(_xlfn.XLOOKUP(E4, Table1[Year], Table1[ENR CCI-LA (USE THIS escalation factor to inflate to 2024$)])))*(1+H4)</f>
        <v>1276.8</v>
      </c>
      <c r="J4" s="3">
        <v>5</v>
      </c>
      <c r="K4" s="3">
        <v>15</v>
      </c>
      <c r="L4" s="21">
        <f>I4/K4</f>
        <v>85.11999999999999</v>
      </c>
      <c r="M4" s="21">
        <f>I4/J4</f>
        <v>255.35999999999999</v>
      </c>
      <c r="O4" s="42"/>
      <c r="Q4" s="32">
        <f>O4*I4</f>
        <v>0</v>
      </c>
      <c r="S4" s="32">
        <f>$O4*($L4)</f>
        <v>0</v>
      </c>
      <c r="U4" s="32">
        <f>$O4*($M4)</f>
        <v>0</v>
      </c>
    </row>
    <row r="5" spans="1:21" ht="21.6" customHeight="1">
      <c r="A5" s="1" t="s">
        <v>92</v>
      </c>
      <c r="B5" s="1" t="s">
        <v>9</v>
      </c>
      <c r="C5" s="3" t="s">
        <v>93</v>
      </c>
      <c r="D5" s="48" t="s">
        <v>85</v>
      </c>
      <c r="E5" s="3">
        <v>2025</v>
      </c>
      <c r="F5" s="3" t="s">
        <v>37</v>
      </c>
      <c r="G5" s="15">
        <v>2000</v>
      </c>
      <c r="H5" s="76">
        <v>0.2</v>
      </c>
      <c r="I5" s="31">
        <f>(G5*(_xlfn.XLOOKUP(E5, Table1[Year], Table1[ENR CCI-LA (USE THIS escalation factor to inflate to 2024$)])))*(1+H5)</f>
        <v>2400</v>
      </c>
      <c r="J5" s="3">
        <v>5</v>
      </c>
      <c r="K5" s="3">
        <v>15</v>
      </c>
      <c r="L5" s="21">
        <f t="shared" ref="L5:L6" si="0">I5/K5</f>
        <v>160</v>
      </c>
      <c r="M5" s="21">
        <f t="shared" ref="M5:M6" si="1">I5/J5</f>
        <v>480</v>
      </c>
      <c r="O5" s="42"/>
      <c r="Q5" s="32">
        <f t="shared" ref="Q5:Q20" si="2">O5*I5</f>
        <v>0</v>
      </c>
      <c r="S5" s="32">
        <f t="shared" ref="S5:S20" si="3">$O5*($L5)</f>
        <v>0</v>
      </c>
      <c r="U5" s="32">
        <f t="shared" ref="U5:U20" si="4">$O5*($M5)</f>
        <v>0</v>
      </c>
    </row>
    <row r="6" spans="1:21" ht="29.1">
      <c r="A6" s="1" t="s">
        <v>94</v>
      </c>
      <c r="B6" s="1" t="s">
        <v>9</v>
      </c>
      <c r="C6" s="3" t="s">
        <v>95</v>
      </c>
      <c r="D6" s="48" t="s">
        <v>85</v>
      </c>
      <c r="E6" s="3">
        <v>2025</v>
      </c>
      <c r="F6" s="3" t="s">
        <v>37</v>
      </c>
      <c r="G6" s="15">
        <v>2800</v>
      </c>
      <c r="H6" s="76">
        <v>0.2</v>
      </c>
      <c r="I6" s="41">
        <f>(G6*(_xlfn.XLOOKUP(E6, Table1[Year], Table1[ENR CCI-LA (USE THIS escalation factor to inflate to 2024$)])))*(1+H6)</f>
        <v>3360</v>
      </c>
      <c r="J6" s="3">
        <v>5</v>
      </c>
      <c r="K6" s="3">
        <v>15</v>
      </c>
      <c r="L6" s="21">
        <f t="shared" si="0"/>
        <v>224</v>
      </c>
      <c r="M6" s="21">
        <f t="shared" si="1"/>
        <v>672</v>
      </c>
      <c r="O6" s="42"/>
      <c r="Q6" s="32">
        <f t="shared" si="2"/>
        <v>0</v>
      </c>
      <c r="S6" s="32">
        <f t="shared" si="3"/>
        <v>0</v>
      </c>
      <c r="U6" s="32">
        <f t="shared" si="4"/>
        <v>0</v>
      </c>
    </row>
    <row r="7" spans="1:21">
      <c r="C7"/>
      <c r="O7" s="42"/>
      <c r="Q7" s="32">
        <f t="shared" si="2"/>
        <v>0</v>
      </c>
      <c r="S7" s="32">
        <f t="shared" si="3"/>
        <v>0</v>
      </c>
      <c r="U7" s="32">
        <f t="shared" si="4"/>
        <v>0</v>
      </c>
    </row>
    <row r="8" spans="1:21">
      <c r="C8"/>
      <c r="O8" s="42"/>
      <c r="Q8" s="32">
        <f t="shared" si="2"/>
        <v>0</v>
      </c>
      <c r="S8" s="32">
        <f t="shared" si="3"/>
        <v>0</v>
      </c>
      <c r="U8" s="32">
        <f t="shared" si="4"/>
        <v>0</v>
      </c>
    </row>
    <row r="9" spans="1:21">
      <c r="C9"/>
      <c r="O9" s="43"/>
      <c r="Q9" s="32">
        <f t="shared" si="2"/>
        <v>0</v>
      </c>
      <c r="S9" s="32">
        <f t="shared" si="3"/>
        <v>0</v>
      </c>
      <c r="U9" s="32">
        <f t="shared" si="4"/>
        <v>0</v>
      </c>
    </row>
    <row r="10" spans="1:21">
      <c r="C10"/>
      <c r="O10" s="42"/>
      <c r="Q10" s="32">
        <f t="shared" si="2"/>
        <v>0</v>
      </c>
      <c r="S10" s="32">
        <f t="shared" si="3"/>
        <v>0</v>
      </c>
      <c r="U10" s="32">
        <f t="shared" si="4"/>
        <v>0</v>
      </c>
    </row>
    <row r="11" spans="1:21">
      <c r="C11"/>
      <c r="O11" s="43"/>
      <c r="Q11" s="32">
        <f t="shared" si="2"/>
        <v>0</v>
      </c>
      <c r="S11" s="32">
        <f t="shared" si="3"/>
        <v>0</v>
      </c>
      <c r="U11" s="32">
        <f t="shared" si="4"/>
        <v>0</v>
      </c>
    </row>
    <row r="12" spans="1:21">
      <c r="C12"/>
      <c r="O12" s="42"/>
      <c r="Q12" s="32">
        <f t="shared" si="2"/>
        <v>0</v>
      </c>
      <c r="S12" s="32">
        <f t="shared" si="3"/>
        <v>0</v>
      </c>
      <c r="U12" s="32">
        <f t="shared" si="4"/>
        <v>0</v>
      </c>
    </row>
    <row r="13" spans="1:21">
      <c r="C13"/>
      <c r="O13" s="43"/>
      <c r="Q13" s="32">
        <f t="shared" si="2"/>
        <v>0</v>
      </c>
      <c r="S13" s="32">
        <f t="shared" si="3"/>
        <v>0</v>
      </c>
      <c r="U13" s="32">
        <f t="shared" si="4"/>
        <v>0</v>
      </c>
    </row>
    <row r="14" spans="1:21">
      <c r="O14" s="43"/>
      <c r="Q14" s="32">
        <f t="shared" si="2"/>
        <v>0</v>
      </c>
      <c r="S14" s="32">
        <f>$O14*($L14)</f>
        <v>0</v>
      </c>
      <c r="U14" s="32">
        <f t="shared" si="4"/>
        <v>0</v>
      </c>
    </row>
    <row r="15" spans="1:21">
      <c r="O15" s="42"/>
      <c r="Q15" s="32">
        <f t="shared" si="2"/>
        <v>0</v>
      </c>
      <c r="S15" s="32">
        <f t="shared" si="3"/>
        <v>0</v>
      </c>
      <c r="U15" s="32">
        <f t="shared" si="4"/>
        <v>0</v>
      </c>
    </row>
    <row r="16" spans="1:21">
      <c r="O16" s="42"/>
      <c r="Q16" s="32">
        <f t="shared" si="2"/>
        <v>0</v>
      </c>
      <c r="S16" s="32">
        <f t="shared" si="3"/>
        <v>0</v>
      </c>
      <c r="U16" s="32">
        <f t="shared" si="4"/>
        <v>0</v>
      </c>
    </row>
    <row r="17" spans="15:21">
      <c r="O17" s="42"/>
      <c r="Q17" s="32">
        <f t="shared" si="2"/>
        <v>0</v>
      </c>
      <c r="S17" s="32">
        <f t="shared" si="3"/>
        <v>0</v>
      </c>
      <c r="U17" s="32">
        <f t="shared" si="4"/>
        <v>0</v>
      </c>
    </row>
    <row r="18" spans="15:21">
      <c r="O18" s="42"/>
      <c r="Q18" s="32">
        <f t="shared" si="2"/>
        <v>0</v>
      </c>
      <c r="S18" s="32">
        <f t="shared" si="3"/>
        <v>0</v>
      </c>
      <c r="U18" s="32">
        <f t="shared" si="4"/>
        <v>0</v>
      </c>
    </row>
    <row r="19" spans="15:21">
      <c r="O19" s="43"/>
      <c r="Q19" s="32">
        <f t="shared" si="2"/>
        <v>0</v>
      </c>
      <c r="S19" s="32">
        <f t="shared" si="3"/>
        <v>0</v>
      </c>
      <c r="U19" s="32">
        <f t="shared" si="4"/>
        <v>0</v>
      </c>
    </row>
    <row r="20" spans="15:21">
      <c r="O20" s="42"/>
      <c r="Q20" s="41">
        <f t="shared" si="2"/>
        <v>0</v>
      </c>
      <c r="S20" s="32">
        <f t="shared" si="3"/>
        <v>0</v>
      </c>
      <c r="U20" s="32">
        <f t="shared" si="4"/>
        <v>0</v>
      </c>
    </row>
    <row r="21" spans="15:21">
      <c r="Q21" s="55" t="s">
        <v>41</v>
      </c>
      <c r="S21" s="55" t="s">
        <v>3</v>
      </c>
      <c r="U21" s="55" t="s">
        <v>4</v>
      </c>
    </row>
    <row r="22" spans="15:21">
      <c r="Q22" s="25">
        <f>SUM(Q4:Q20)</f>
        <v>0</v>
      </c>
      <c r="S22" s="25">
        <f>SUM(S4:S20)</f>
        <v>0</v>
      </c>
      <c r="U22" s="25">
        <f>SUM(U4:U20)</f>
        <v>0</v>
      </c>
    </row>
  </sheetData>
  <mergeCells count="3">
    <mergeCell ref="O1:Q1"/>
    <mergeCell ref="C1:E1"/>
    <mergeCell ref="S1:U1"/>
  </mergeCells>
  <phoneticPr fontId="5" type="noConversion"/>
  <conditionalFormatting sqref="A4:M6">
    <cfRule type="expression" dxfId="12" priority="2">
      <formula>MOD(ROW(),2)=0</formula>
    </cfRule>
  </conditionalFormatting>
  <conditionalFormatting sqref="O4:O20 Q4:Q20 S4:S20 U4:U20">
    <cfRule type="expression" dxfId="11" priority="1">
      <formula>MOD(ROW(),2)=0</formula>
    </cfRule>
  </conditionalFormatting>
  <hyperlinks>
    <hyperlink ref="D6" r:id="rId1" xr:uid="{EE42A3C6-0D93-4276-8962-3B5E18DD4F9B}"/>
    <hyperlink ref="D4" r:id="rId2" xr:uid="{6CA9E7AD-2A65-46CB-80BA-C4B187602493}"/>
    <hyperlink ref="D5" r:id="rId3" xr:uid="{60664503-E666-4BD7-889B-84C40A949124}"/>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7E7EC3E-C5A1-47F6-BE62-831ADB07BEC1}">
          <x14:formula1>
            <xm:f>'Inflation Factor and Modifiers'!#REF!</xm:f>
          </x14:formula1>
          <xm:sqref>H4:H6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59EDE-D548-4098-A565-B442778825F1}">
  <dimension ref="A1:M9"/>
  <sheetViews>
    <sheetView zoomScale="85" zoomScaleNormal="85" workbookViewId="0">
      <selection activeCell="E4" sqref="E4"/>
    </sheetView>
  </sheetViews>
  <sheetFormatPr defaultRowHeight="14.45"/>
  <cols>
    <col min="1" max="1" width="30.85546875" customWidth="1"/>
    <col min="2" max="4" width="15.42578125" customWidth="1"/>
    <col min="5" max="5" width="20.5703125" customWidth="1"/>
    <col min="6" max="6" width="24.7109375" customWidth="1"/>
    <col min="7" max="7" width="22.28515625" customWidth="1"/>
    <col min="8" max="8" width="5.140625" customWidth="1"/>
    <col min="9" max="9" width="11.5703125" customWidth="1"/>
    <col min="10" max="10" width="4" customWidth="1"/>
    <col min="11" max="11" width="15.7109375" customWidth="1"/>
    <col min="12" max="12" width="4" customWidth="1"/>
    <col min="13" max="13" width="17" customWidth="1"/>
  </cols>
  <sheetData>
    <row r="1" spans="1:13">
      <c r="A1" t="s">
        <v>96</v>
      </c>
      <c r="B1" s="4" t="s">
        <v>97</v>
      </c>
      <c r="I1" s="100" t="s">
        <v>17</v>
      </c>
      <c r="J1" s="101"/>
      <c r="K1" s="102"/>
      <c r="M1" s="96" t="s">
        <v>18</v>
      </c>
    </row>
    <row r="2" spans="1:13">
      <c r="B2" s="4"/>
    </row>
    <row r="3" spans="1:13" ht="33.950000000000003" customHeight="1">
      <c r="A3" s="57" t="s">
        <v>19</v>
      </c>
      <c r="B3" s="57" t="s">
        <v>16</v>
      </c>
      <c r="C3" s="57" t="s">
        <v>23</v>
      </c>
      <c r="D3" s="58" t="s">
        <v>24</v>
      </c>
      <c r="E3" s="58" t="s">
        <v>98</v>
      </c>
      <c r="F3" s="58" t="s">
        <v>99</v>
      </c>
      <c r="G3" s="58" t="s">
        <v>100</v>
      </c>
      <c r="I3" s="46" t="s">
        <v>31</v>
      </c>
      <c r="K3" s="54" t="s">
        <v>32</v>
      </c>
      <c r="M3" s="54" t="s">
        <v>101</v>
      </c>
    </row>
    <row r="4" spans="1:13" ht="29.1">
      <c r="A4" s="1" t="s">
        <v>102</v>
      </c>
      <c r="B4" s="1">
        <v>2016</v>
      </c>
      <c r="C4" s="1" t="s">
        <v>103</v>
      </c>
      <c r="D4" s="23">
        <v>20000</v>
      </c>
      <c r="E4" s="24">
        <f>D4*'Inflation Factor and Modifiers'!$D$12</f>
        <v>27300.400000000001</v>
      </c>
      <c r="F4" s="21">
        <v>3000</v>
      </c>
      <c r="G4" s="21">
        <f>F4*'Inflation Factor and Modifiers'!$D$12</f>
        <v>4095.0600000000004</v>
      </c>
      <c r="I4" s="42"/>
      <c r="K4" s="41">
        <f>I4*E4</f>
        <v>0</v>
      </c>
      <c r="M4" s="41">
        <f>$I4*($G4)</f>
        <v>0</v>
      </c>
    </row>
    <row r="5" spans="1:13" ht="29.1">
      <c r="A5" s="1" t="s">
        <v>104</v>
      </c>
      <c r="B5" s="1">
        <v>2016</v>
      </c>
      <c r="C5" s="1" t="s">
        <v>103</v>
      </c>
      <c r="D5" s="23">
        <v>22600</v>
      </c>
      <c r="E5" s="24">
        <f>D5*'Inflation Factor and Modifiers'!$D$12</f>
        <v>30849.452000000001</v>
      </c>
      <c r="F5" s="21">
        <v>3000</v>
      </c>
      <c r="G5" s="21">
        <f>F5*'Inflation Factor and Modifiers'!$D$12</f>
        <v>4095.0600000000004</v>
      </c>
      <c r="I5" s="42"/>
      <c r="K5" s="41">
        <f t="shared" ref="K5:K7" si="0">I5*E5</f>
        <v>0</v>
      </c>
      <c r="M5" s="41">
        <f t="shared" ref="M5:M7" si="1">$I5*($G5)</f>
        <v>0</v>
      </c>
    </row>
    <row r="6" spans="1:13" ht="29.1">
      <c r="A6" s="1" t="s">
        <v>105</v>
      </c>
      <c r="B6" s="1">
        <v>2016</v>
      </c>
      <c r="C6" s="1" t="s">
        <v>103</v>
      </c>
      <c r="D6" s="23">
        <v>28600</v>
      </c>
      <c r="E6" s="24">
        <f>D6*'Inflation Factor and Modifiers'!$D$12</f>
        <v>39039.572</v>
      </c>
      <c r="F6" s="21">
        <v>3000</v>
      </c>
      <c r="G6" s="21">
        <f>F6*'Inflation Factor and Modifiers'!$D$12</f>
        <v>4095.0600000000004</v>
      </c>
      <c r="I6" s="42"/>
      <c r="K6" s="41">
        <f t="shared" si="0"/>
        <v>0</v>
      </c>
      <c r="M6" s="41">
        <f t="shared" si="1"/>
        <v>0</v>
      </c>
    </row>
    <row r="7" spans="1:13" ht="29.1">
      <c r="A7" s="1" t="s">
        <v>106</v>
      </c>
      <c r="B7" s="1">
        <v>2016</v>
      </c>
      <c r="C7" s="1" t="s">
        <v>107</v>
      </c>
      <c r="D7" s="21">
        <v>4500</v>
      </c>
      <c r="E7" s="24">
        <f>D7*'Inflation Factor and Modifiers'!$D$12</f>
        <v>6142.59</v>
      </c>
      <c r="F7" s="21">
        <v>1300</v>
      </c>
      <c r="G7" s="21">
        <f>F7*'Inflation Factor and Modifiers'!$D$12</f>
        <v>1774.5260000000001</v>
      </c>
      <c r="I7" s="42"/>
      <c r="K7" s="41">
        <f t="shared" si="0"/>
        <v>0</v>
      </c>
      <c r="M7" s="41">
        <f t="shared" si="1"/>
        <v>0</v>
      </c>
    </row>
    <row r="8" spans="1:13">
      <c r="K8" s="55" t="s">
        <v>41</v>
      </c>
      <c r="M8" s="55" t="s">
        <v>101</v>
      </c>
    </row>
    <row r="9" spans="1:13">
      <c r="K9" s="25">
        <f>SUM(K4:K7)</f>
        <v>0</v>
      </c>
      <c r="M9" s="25">
        <f>SUM(M4:M7)</f>
        <v>0</v>
      </c>
    </row>
  </sheetData>
  <mergeCells count="1">
    <mergeCell ref="I1:K1"/>
  </mergeCells>
  <conditionalFormatting sqref="A4:G7">
    <cfRule type="expression" dxfId="10" priority="17">
      <formula>MOD(ROW(),2)=0</formula>
    </cfRule>
  </conditionalFormatting>
  <conditionalFormatting sqref="I4:I7">
    <cfRule type="expression" dxfId="9" priority="15">
      <formula>MOD(ROW(),2)=0</formula>
    </cfRule>
  </conditionalFormatting>
  <conditionalFormatting sqref="K4:K7">
    <cfRule type="expression" dxfId="8" priority="14">
      <formula>MOD(ROW(),2)=0</formula>
    </cfRule>
  </conditionalFormatting>
  <conditionalFormatting sqref="M4:M7">
    <cfRule type="expression" dxfId="7" priority="3">
      <formula>MOD(ROW(),2)=0</formula>
    </cfRule>
  </conditionalFormatting>
  <hyperlinks>
    <hyperlink ref="B1" r:id="rId1" xr:uid="{A93325A3-F1DE-4237-8389-754742D743D5}"/>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0B7C1-99F5-485F-B8D1-79C130A2BB19}">
  <sheetPr>
    <tabColor theme="7" tint="0.79998168889431442"/>
  </sheetPr>
  <dimension ref="A1:Q11"/>
  <sheetViews>
    <sheetView zoomScale="85" zoomScaleNormal="85" workbookViewId="0">
      <selection activeCell="G30" sqref="G30"/>
    </sheetView>
  </sheetViews>
  <sheetFormatPr defaultRowHeight="14.45"/>
  <cols>
    <col min="1" max="1" width="21.85546875" customWidth="1"/>
    <col min="2" max="2" width="31.140625" customWidth="1"/>
    <col min="3" max="3" width="10.140625" customWidth="1"/>
    <col min="4" max="4" width="24.5703125" customWidth="1"/>
    <col min="5" max="5" width="37.7109375" customWidth="1"/>
    <col min="6" max="6" width="10.42578125" customWidth="1"/>
    <col min="7" max="7" width="7.85546875" customWidth="1"/>
    <col min="8" max="8" width="10.5703125" customWidth="1"/>
    <col min="9" max="9" width="12.7109375" customWidth="1"/>
    <col min="10" max="10" width="4.42578125" customWidth="1"/>
    <col min="11" max="11" width="6.140625" customWidth="1"/>
    <col min="12" max="12" width="18.140625" customWidth="1"/>
    <col min="13" max="13" width="12.5703125" customWidth="1"/>
    <col min="14" max="14" width="9.140625" customWidth="1"/>
    <col min="15" max="15" width="8.42578125" customWidth="1"/>
    <col min="16" max="16" width="17.5703125" customWidth="1"/>
    <col min="17" max="17" width="18.5703125" customWidth="1"/>
  </cols>
  <sheetData>
    <row r="1" spans="1:17" ht="22.5" customHeight="1">
      <c r="F1" s="104" t="s">
        <v>108</v>
      </c>
      <c r="G1" s="104"/>
      <c r="H1" s="104"/>
      <c r="I1" s="104"/>
      <c r="K1" s="103" t="s">
        <v>109</v>
      </c>
      <c r="L1" s="103"/>
      <c r="M1" s="103"/>
      <c r="N1" s="103"/>
      <c r="O1" s="103"/>
      <c r="P1" s="103"/>
      <c r="Q1" s="103"/>
    </row>
    <row r="2" spans="1:17" ht="11.1" customHeight="1"/>
    <row r="3" spans="1:17" s="14" customFormat="1" ht="42.6" customHeight="1">
      <c r="A3" s="56" t="s">
        <v>110</v>
      </c>
      <c r="B3" s="56" t="s">
        <v>111</v>
      </c>
      <c r="C3" s="56" t="s">
        <v>16</v>
      </c>
      <c r="D3" s="56" t="s">
        <v>19</v>
      </c>
      <c r="E3" s="56" t="s">
        <v>22</v>
      </c>
      <c r="F3" s="56" t="s">
        <v>112</v>
      </c>
      <c r="G3" s="56" t="s">
        <v>113</v>
      </c>
      <c r="H3" s="56" t="s">
        <v>114</v>
      </c>
      <c r="I3" s="56" t="s">
        <v>115</v>
      </c>
      <c r="J3"/>
      <c r="K3" s="56" t="s">
        <v>23</v>
      </c>
      <c r="L3" s="56" t="s">
        <v>116</v>
      </c>
      <c r="M3" s="56" t="s">
        <v>117</v>
      </c>
      <c r="N3" s="56" t="s">
        <v>27</v>
      </c>
      <c r="O3" s="56" t="s">
        <v>28</v>
      </c>
      <c r="P3" s="56" t="s">
        <v>118</v>
      </c>
      <c r="Q3" s="56" t="s">
        <v>119</v>
      </c>
    </row>
    <row r="4" spans="1:17" ht="29.1">
      <c r="A4" s="3" t="s">
        <v>120</v>
      </c>
      <c r="B4" s="1" t="s">
        <v>121</v>
      </c>
      <c r="C4" s="1">
        <v>2019</v>
      </c>
      <c r="D4" s="1" t="s">
        <v>122</v>
      </c>
      <c r="E4" s="2" t="s">
        <v>123</v>
      </c>
      <c r="F4" s="8">
        <v>100000</v>
      </c>
      <c r="G4" s="1">
        <v>2.9</v>
      </c>
      <c r="H4" s="8">
        <f t="shared" ref="H4:H11" si="0">F4/G4</f>
        <v>34482.758620689659</v>
      </c>
      <c r="I4" s="5">
        <f>H4*'Inflation Factor and Modifiers'!D9</f>
        <v>43835.862068965522</v>
      </c>
      <c r="K4" s="17" t="s">
        <v>63</v>
      </c>
      <c r="L4" s="1" t="s">
        <v>65</v>
      </c>
      <c r="M4" s="9">
        <v>3.99</v>
      </c>
      <c r="N4" s="3">
        <v>3</v>
      </c>
      <c r="O4" s="3">
        <v>5</v>
      </c>
      <c r="P4" s="9">
        <f>M4*5280/O4</f>
        <v>4213.4400000000005</v>
      </c>
      <c r="Q4" s="9">
        <f>M4*5280/N4</f>
        <v>7022.4000000000005</v>
      </c>
    </row>
    <row r="5" spans="1:17" ht="43.5">
      <c r="A5" s="3" t="s">
        <v>120</v>
      </c>
      <c r="B5" s="1" t="s">
        <v>124</v>
      </c>
      <c r="C5" s="1">
        <v>2017</v>
      </c>
      <c r="D5" s="1" t="s">
        <v>125</v>
      </c>
      <c r="E5" s="2" t="s">
        <v>126</v>
      </c>
      <c r="F5" s="8">
        <v>308000</v>
      </c>
      <c r="G5" s="1">
        <v>1</v>
      </c>
      <c r="H5" s="8">
        <f t="shared" si="0"/>
        <v>308000</v>
      </c>
      <c r="I5" s="5">
        <f>H5*'Inflation Factor and Modifiers'!D11</f>
        <v>404379.36000000004</v>
      </c>
      <c r="K5" s="17" t="s">
        <v>46</v>
      </c>
      <c r="L5" s="20" t="s">
        <v>127</v>
      </c>
      <c r="M5" s="9">
        <v>7</v>
      </c>
      <c r="N5" s="3">
        <v>3</v>
      </c>
      <c r="O5" s="3">
        <v>5</v>
      </c>
      <c r="P5" s="9">
        <f>M5*5280*9/O5</f>
        <v>66528</v>
      </c>
      <c r="Q5" s="9">
        <f>M5*5280*9/N5</f>
        <v>110880</v>
      </c>
    </row>
    <row r="6" spans="1:17" ht="29.1">
      <c r="A6" s="3" t="s">
        <v>128</v>
      </c>
      <c r="B6" s="1" t="s">
        <v>129</v>
      </c>
      <c r="C6" s="1">
        <v>2024</v>
      </c>
      <c r="D6" s="1" t="s">
        <v>130</v>
      </c>
      <c r="E6" s="2" t="s">
        <v>131</v>
      </c>
      <c r="F6" s="8">
        <v>43300</v>
      </c>
      <c r="G6" s="1">
        <v>1</v>
      </c>
      <c r="H6" s="8">
        <f t="shared" si="0"/>
        <v>43300</v>
      </c>
      <c r="I6" s="5">
        <f>H6*'Inflation Factor and Modifiers'!D4</f>
        <v>43300</v>
      </c>
      <c r="K6" s="17" t="s">
        <v>63</v>
      </c>
      <c r="L6" s="1" t="s">
        <v>65</v>
      </c>
      <c r="M6" s="9">
        <v>4</v>
      </c>
      <c r="N6" s="3">
        <v>3</v>
      </c>
      <c r="O6" s="3">
        <v>5</v>
      </c>
      <c r="P6" s="9">
        <f>M6*5280/O6</f>
        <v>4224</v>
      </c>
      <c r="Q6" s="9">
        <f>M6*5280/N6</f>
        <v>7040</v>
      </c>
    </row>
    <row r="7" spans="1:17" ht="43.5">
      <c r="A7" s="3" t="s">
        <v>128</v>
      </c>
      <c r="B7" s="1" t="s">
        <v>132</v>
      </c>
      <c r="C7" s="1">
        <v>2019</v>
      </c>
      <c r="D7" s="1" t="s">
        <v>133</v>
      </c>
      <c r="E7" s="2" t="s">
        <v>134</v>
      </c>
      <c r="F7" s="10">
        <v>160000</v>
      </c>
      <c r="G7" s="1">
        <v>0.8</v>
      </c>
      <c r="H7" s="8">
        <f t="shared" si="0"/>
        <v>200000</v>
      </c>
      <c r="I7" s="5">
        <f>H7*'Inflation Factor and Modifiers'!D9</f>
        <v>254247.99999999997</v>
      </c>
      <c r="K7" s="17" t="s">
        <v>46</v>
      </c>
      <c r="L7" s="20" t="s">
        <v>127</v>
      </c>
      <c r="M7" s="9">
        <v>7</v>
      </c>
      <c r="N7" s="3">
        <v>3</v>
      </c>
      <c r="O7" s="3">
        <v>5</v>
      </c>
      <c r="P7" s="9">
        <f>M7*5280*9/O7</f>
        <v>66528</v>
      </c>
      <c r="Q7" s="9">
        <f>M7*5280*9/N7</f>
        <v>110880</v>
      </c>
    </row>
    <row r="8" spans="1:17" ht="29.1">
      <c r="A8" s="3" t="s">
        <v>135</v>
      </c>
      <c r="B8" s="1" t="s">
        <v>136</v>
      </c>
      <c r="C8" s="1">
        <v>2010</v>
      </c>
      <c r="D8" s="1" t="s">
        <v>137</v>
      </c>
      <c r="E8" s="2" t="s">
        <v>138</v>
      </c>
      <c r="F8" s="10">
        <v>100000</v>
      </c>
      <c r="G8" s="1">
        <v>1</v>
      </c>
      <c r="H8" s="8">
        <f t="shared" si="0"/>
        <v>100000</v>
      </c>
      <c r="I8" s="7">
        <f>H8*'Inflation Factor and Modifiers'!D18</f>
        <v>155258</v>
      </c>
      <c r="K8" s="17" t="s">
        <v>63</v>
      </c>
      <c r="L8" s="1" t="s">
        <v>65</v>
      </c>
      <c r="M8" s="9">
        <v>4</v>
      </c>
      <c r="N8" s="3">
        <v>3</v>
      </c>
      <c r="O8" s="3">
        <v>5</v>
      </c>
      <c r="P8" s="9">
        <f>M8*5280/O8</f>
        <v>4224</v>
      </c>
      <c r="Q8" s="9">
        <f>M8*5280/N8</f>
        <v>7040</v>
      </c>
    </row>
    <row r="9" spans="1:17" ht="43.5">
      <c r="A9" s="3" t="s">
        <v>135</v>
      </c>
      <c r="B9" s="1" t="s">
        <v>139</v>
      </c>
      <c r="C9" s="1">
        <v>2018</v>
      </c>
      <c r="D9" s="1" t="s">
        <v>140</v>
      </c>
      <c r="E9" s="2" t="s">
        <v>141</v>
      </c>
      <c r="F9" s="10">
        <v>122000</v>
      </c>
      <c r="G9" s="1">
        <v>0.25</v>
      </c>
      <c r="H9" s="8">
        <f t="shared" si="0"/>
        <v>488000</v>
      </c>
      <c r="I9" s="12">
        <f>H9*'Inflation Factor and Modifiers'!D10</f>
        <v>625450.07999999996</v>
      </c>
      <c r="K9" s="17" t="s">
        <v>46</v>
      </c>
      <c r="L9" s="20" t="s">
        <v>127</v>
      </c>
      <c r="M9" s="9">
        <v>7</v>
      </c>
      <c r="N9" s="3">
        <v>3</v>
      </c>
      <c r="O9" s="3">
        <v>5</v>
      </c>
      <c r="P9" s="9">
        <f>M9*5280*9/O9</f>
        <v>66528</v>
      </c>
      <c r="Q9" s="9">
        <f>M9*5280*9/N9</f>
        <v>110880</v>
      </c>
    </row>
    <row r="10" spans="1:17" ht="29.1">
      <c r="A10" s="3" t="s">
        <v>142</v>
      </c>
      <c r="B10" s="1" t="s">
        <v>143</v>
      </c>
      <c r="C10" s="1">
        <v>2016</v>
      </c>
      <c r="D10" s="1" t="s">
        <v>144</v>
      </c>
      <c r="E10" s="2" t="s">
        <v>145</v>
      </c>
      <c r="F10" s="10">
        <v>150000</v>
      </c>
      <c r="G10" s="1">
        <v>1</v>
      </c>
      <c r="H10" s="8">
        <f t="shared" si="0"/>
        <v>150000</v>
      </c>
      <c r="I10" s="12">
        <f>H10*'Inflation Factor and Modifiers'!D12</f>
        <v>204753.00000000003</v>
      </c>
      <c r="K10" s="18" t="s">
        <v>63</v>
      </c>
      <c r="L10" s="1" t="s">
        <v>65</v>
      </c>
      <c r="M10" s="9">
        <v>4</v>
      </c>
      <c r="N10" s="3">
        <v>3</v>
      </c>
      <c r="O10" s="3">
        <v>5</v>
      </c>
      <c r="P10" s="9">
        <f>M10*5280/O10</f>
        <v>4224</v>
      </c>
      <c r="Q10" s="9">
        <f>M10*5280/N10</f>
        <v>7040</v>
      </c>
    </row>
    <row r="11" spans="1:17" ht="29.1">
      <c r="A11" s="3" t="s">
        <v>142</v>
      </c>
      <c r="B11" s="1" t="s">
        <v>146</v>
      </c>
      <c r="C11" s="1">
        <v>2018</v>
      </c>
      <c r="D11" s="1" t="s">
        <v>147</v>
      </c>
      <c r="E11" s="2" t="s">
        <v>148</v>
      </c>
      <c r="F11" s="10">
        <v>5000</v>
      </c>
      <c r="G11" s="1">
        <v>0.55000000000000004</v>
      </c>
      <c r="H11" s="8">
        <f t="shared" si="0"/>
        <v>9090.9090909090901</v>
      </c>
      <c r="I11" s="12">
        <f>H11*'Inflation Factor and Modifiers'!D10</f>
        <v>11651.454545454544</v>
      </c>
      <c r="K11" s="18" t="s">
        <v>63</v>
      </c>
      <c r="L11" s="1" t="s">
        <v>65</v>
      </c>
      <c r="M11" s="9">
        <v>4</v>
      </c>
      <c r="N11" s="3">
        <v>3</v>
      </c>
      <c r="O11" s="3">
        <v>5</v>
      </c>
      <c r="P11" s="9">
        <f>M11*5280/O11</f>
        <v>4224</v>
      </c>
      <c r="Q11" s="9">
        <f>M11*5280/N11</f>
        <v>7040</v>
      </c>
    </row>
  </sheetData>
  <mergeCells count="2">
    <mergeCell ref="K1:Q1"/>
    <mergeCell ref="F1:I1"/>
  </mergeCells>
  <conditionalFormatting sqref="A4:I11 K4:Q11">
    <cfRule type="expression" dxfId="6" priority="1">
      <formula>MOD(ROW(),2)=0</formula>
    </cfRule>
  </conditionalFormatting>
  <hyperlinks>
    <hyperlink ref="E4" r:id="rId1" xr:uid="{9BCC9095-1562-432D-B54E-0FEE9337D55C}"/>
    <hyperlink ref="E6" r:id="rId2" xr:uid="{C3EB85C3-4E86-4C83-A3EE-3A84C2F85ABB}"/>
    <hyperlink ref="E5" r:id="rId3" xr:uid="{50A25395-36A4-40E4-8D28-D2F704EDFE48}"/>
    <hyperlink ref="E7" r:id="rId4" xr:uid="{27CACBD1-33A9-4829-B09E-1BFBA3076A0D}"/>
    <hyperlink ref="E8" r:id="rId5" location="62" xr:uid="{D21EAF04-6D7B-4DAC-9CA9-A9C2FBB1BC36}"/>
    <hyperlink ref="E9" r:id="rId6" xr:uid="{11C1D4C9-117F-4F7A-BF83-FE713E098665}"/>
    <hyperlink ref="E10" r:id="rId7" xr:uid="{9E4C9205-6ECB-4457-9FF7-E5221C153EB7}"/>
    <hyperlink ref="E11" r:id="rId8" xr:uid="{73503516-9096-410D-81E5-AC25FD36BCD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4B64B-9FE4-4D1F-96F1-5C9867D5C7C8}">
  <dimension ref="B1:G28"/>
  <sheetViews>
    <sheetView zoomScale="85" zoomScaleNormal="85" workbookViewId="0">
      <selection activeCell="H5" sqref="H5"/>
    </sheetView>
  </sheetViews>
  <sheetFormatPr defaultRowHeight="14.45"/>
  <cols>
    <col min="2" max="2" width="12.42578125" customWidth="1"/>
    <col min="3" max="3" width="28.85546875" customWidth="1"/>
    <col min="4" max="4" width="49.5703125" customWidth="1"/>
    <col min="7" max="7" width="20.85546875" customWidth="1"/>
  </cols>
  <sheetData>
    <row r="1" spans="2:7">
      <c r="C1" t="s">
        <v>149</v>
      </c>
      <c r="D1" t="s">
        <v>150</v>
      </c>
    </row>
    <row r="2" spans="2:7" ht="29.1">
      <c r="B2" s="79" t="s">
        <v>16</v>
      </c>
      <c r="C2" s="80" t="s">
        <v>151</v>
      </c>
      <c r="D2" s="81" t="s">
        <v>152</v>
      </c>
      <c r="G2" s="90" t="s">
        <v>14</v>
      </c>
    </row>
    <row r="3" spans="2:7">
      <c r="B3" s="85">
        <v>2025</v>
      </c>
      <c r="C3" s="86"/>
      <c r="D3" s="78">
        <v>1</v>
      </c>
      <c r="G3" s="91">
        <v>0.1</v>
      </c>
    </row>
    <row r="4" spans="2:7">
      <c r="B4" s="77">
        <v>2024</v>
      </c>
      <c r="C4" s="22"/>
      <c r="D4" s="78">
        <v>1</v>
      </c>
      <c r="G4" s="92">
        <v>0.2</v>
      </c>
    </row>
    <row r="5" spans="2:7">
      <c r="B5" s="77">
        <v>2023</v>
      </c>
      <c r="C5" s="22">
        <v>1</v>
      </c>
      <c r="D5" s="78">
        <f t="shared" ref="D5:D28" si="0">C5*1.042</f>
        <v>1.042</v>
      </c>
      <c r="G5" s="93">
        <v>0.3</v>
      </c>
    </row>
    <row r="6" spans="2:7">
      <c r="B6" s="77">
        <v>2022</v>
      </c>
      <c r="C6" s="22">
        <v>1.1000000000000001</v>
      </c>
      <c r="D6" s="78">
        <f t="shared" si="0"/>
        <v>1.1462000000000001</v>
      </c>
      <c r="G6" s="91">
        <v>0.4</v>
      </c>
    </row>
    <row r="7" spans="2:7">
      <c r="B7" s="77">
        <v>2021</v>
      </c>
      <c r="C7" s="22">
        <v>1.1599999999999999</v>
      </c>
      <c r="D7" s="78">
        <f t="shared" si="0"/>
        <v>1.20872</v>
      </c>
      <c r="G7" s="92">
        <v>0.5</v>
      </c>
    </row>
    <row r="8" spans="2:7">
      <c r="B8" s="77">
        <v>2020</v>
      </c>
      <c r="C8" s="22">
        <v>1.22</v>
      </c>
      <c r="D8" s="78">
        <f t="shared" si="0"/>
        <v>1.2712399999999999</v>
      </c>
      <c r="G8" s="93">
        <v>0.6</v>
      </c>
    </row>
    <row r="9" spans="2:7">
      <c r="B9" s="77">
        <v>2019</v>
      </c>
      <c r="C9" s="22">
        <v>1.22</v>
      </c>
      <c r="D9" s="78">
        <f t="shared" si="0"/>
        <v>1.2712399999999999</v>
      </c>
      <c r="G9" s="91">
        <v>0.7</v>
      </c>
    </row>
    <row r="10" spans="2:7">
      <c r="B10" s="77">
        <v>2018</v>
      </c>
      <c r="C10" s="22">
        <v>1.23</v>
      </c>
      <c r="D10" s="78">
        <f t="shared" si="0"/>
        <v>1.28166</v>
      </c>
    </row>
    <row r="11" spans="2:7">
      <c r="B11" s="77">
        <v>2017</v>
      </c>
      <c r="C11" s="22">
        <v>1.26</v>
      </c>
      <c r="D11" s="78">
        <f t="shared" si="0"/>
        <v>1.3129200000000001</v>
      </c>
    </row>
    <row r="12" spans="2:7">
      <c r="B12" s="77">
        <v>2016</v>
      </c>
      <c r="C12" s="22">
        <v>1.31</v>
      </c>
      <c r="D12" s="78">
        <f t="shared" si="0"/>
        <v>1.3650200000000001</v>
      </c>
    </row>
    <row r="13" spans="2:7">
      <c r="B13" s="77">
        <v>2015</v>
      </c>
      <c r="C13" s="22">
        <v>1.33</v>
      </c>
      <c r="D13" s="78">
        <f t="shared" si="0"/>
        <v>1.3858600000000001</v>
      </c>
    </row>
    <row r="14" spans="2:7">
      <c r="B14" s="77">
        <v>2014</v>
      </c>
      <c r="C14" s="22">
        <v>1.37</v>
      </c>
      <c r="D14" s="78">
        <f t="shared" si="0"/>
        <v>1.4275400000000003</v>
      </c>
    </row>
    <row r="15" spans="2:7">
      <c r="B15" s="77">
        <v>2013</v>
      </c>
      <c r="C15" s="22">
        <v>1.41</v>
      </c>
      <c r="D15" s="78">
        <f t="shared" si="0"/>
        <v>1.46922</v>
      </c>
    </row>
    <row r="16" spans="2:7">
      <c r="B16" s="77">
        <v>2012</v>
      </c>
      <c r="C16" s="22">
        <v>1.44</v>
      </c>
      <c r="D16" s="78">
        <f t="shared" si="0"/>
        <v>1.50048</v>
      </c>
    </row>
    <row r="17" spans="2:4">
      <c r="B17" s="77">
        <v>2011</v>
      </c>
      <c r="C17" s="22">
        <v>1.47</v>
      </c>
      <c r="D17" s="78">
        <f t="shared" si="0"/>
        <v>1.5317400000000001</v>
      </c>
    </row>
    <row r="18" spans="2:4">
      <c r="B18" s="77">
        <v>2010</v>
      </c>
      <c r="C18" s="22">
        <v>1.49</v>
      </c>
      <c r="D18" s="78">
        <f t="shared" si="0"/>
        <v>1.5525800000000001</v>
      </c>
    </row>
    <row r="19" spans="2:4">
      <c r="B19" s="77">
        <v>2009</v>
      </c>
      <c r="C19" s="22">
        <v>1.51</v>
      </c>
      <c r="D19" s="78">
        <f t="shared" si="0"/>
        <v>1.57342</v>
      </c>
    </row>
    <row r="20" spans="2:4">
      <c r="B20" s="77">
        <v>2008</v>
      </c>
      <c r="C20" s="22">
        <v>1.57</v>
      </c>
      <c r="D20" s="78">
        <f t="shared" si="0"/>
        <v>1.6359400000000002</v>
      </c>
    </row>
    <row r="21" spans="2:4">
      <c r="B21" s="77">
        <v>2007</v>
      </c>
      <c r="C21" s="22">
        <v>1.64</v>
      </c>
      <c r="D21" s="78">
        <f t="shared" si="0"/>
        <v>1.70888</v>
      </c>
    </row>
    <row r="22" spans="2:4">
      <c r="B22" s="77">
        <v>2006</v>
      </c>
      <c r="C22" s="22">
        <v>1.71</v>
      </c>
      <c r="D22" s="78">
        <f t="shared" si="0"/>
        <v>1.78182</v>
      </c>
    </row>
    <row r="23" spans="2:4">
      <c r="B23" s="77">
        <v>2005</v>
      </c>
      <c r="C23" s="22">
        <v>1.77</v>
      </c>
      <c r="D23" s="78">
        <f t="shared" si="0"/>
        <v>1.8443400000000001</v>
      </c>
    </row>
    <row r="24" spans="2:4">
      <c r="B24" s="77">
        <v>2004</v>
      </c>
      <c r="C24" s="22">
        <v>1.8</v>
      </c>
      <c r="D24" s="78">
        <f t="shared" si="0"/>
        <v>1.8756000000000002</v>
      </c>
    </row>
    <row r="25" spans="2:4">
      <c r="B25" s="77">
        <v>2003</v>
      </c>
      <c r="C25" s="22">
        <v>1.96</v>
      </c>
      <c r="D25" s="78">
        <f t="shared" si="0"/>
        <v>2.0423200000000001</v>
      </c>
    </row>
    <row r="26" spans="2:4">
      <c r="B26" s="77">
        <v>2002</v>
      </c>
      <c r="C26" s="22">
        <v>1.99</v>
      </c>
      <c r="D26" s="78">
        <f t="shared" si="0"/>
        <v>2.0735800000000002</v>
      </c>
    </row>
    <row r="27" spans="2:4">
      <c r="B27" s="77">
        <v>2001</v>
      </c>
      <c r="C27" s="22">
        <v>2.04</v>
      </c>
      <c r="D27" s="78">
        <f t="shared" si="0"/>
        <v>2.12568</v>
      </c>
    </row>
    <row r="28" spans="2:4">
      <c r="B28" s="82">
        <v>2000</v>
      </c>
      <c r="C28" s="83">
        <v>2.09</v>
      </c>
      <c r="D28" s="84">
        <f t="shared" si="0"/>
        <v>2.1777799999999998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a6f2d9b7-3122-4fa2-9c6a-801252b48ae7" xsi:nil="true"/>
    <lcf76f155ced4ddcb4097134ff3c332f xmlns="a0abc17b-26fa-4a6c-85fa-ec6ed5308116">
      <Terms xmlns="http://schemas.microsoft.com/office/infopath/2007/PartnerControls"/>
    </lcf76f155ced4ddcb4097134ff3c332f>
  </documentManagement>
</p:properties>
</file>

<file path=customXml/item3.xml>��< ? x m l   v e r s i o n = " 1 . 0 "   e n c o d i n g = " u t f - 1 6 " ? > < D a t a M a s h u p   x m l n s = " h t t p : / / s c h e m a s . m i c r o s o f t . c o m / D a t a M a s h u p " > A A A A A B M D A A B Q S w M E F A A C A A g A o X G o W i L k O f y j A A A A 9 g A A A B I A H A B D b 2 5 m a W c v U G F j a 2 F n Z S 5 4 b W w g o h g A K K A U A A A A A A A A A A A A A A A A A A A A A A A A A A A A h Y 9 B D o I w F E S v Q r q n h a q J I Z + y c C u J C d G 4 b W q F R v g Y W i x 3 c + G R v I I Y R d 2 5 n D d v M X O / 3 i A b m j q 4 6 M 6 a F l M S 0 4 g E G l V 7 M F i m p H f H c E k y A R u p T r L U w S i j T Q Z 7 S E n l 3 D l h z H t P / Y y 2 X c l 4 F M V s n 6 8 L V e l G k o 9 s / s u h Q e s k K k 0 E 7 F 5 j B K f x n F O + G D c B m y D k B r 8 C H 7 t n + w N h 1 d e u 7 7 T Q G G 4 L Y F M E 9 v 4 g H l B L A w Q U A A I A C A C h c a h 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X G o W i i K R 7 g O A A A A E Q A A A B M A H A B G b 3 J t d W x h c y 9 T Z W N 0 a W 9 u M S 5 t I K I Y A C i g F A A A A A A A A A A A A A A A A A A A A A A A A A A A A C t O T S 7 J z M 9 T C I b Q h t Y A U E s B A i 0 A F A A C A A g A o X G o W i L k O f y j A A A A 9 g A A A B I A A A A A A A A A A A A A A A A A A A A A A E N v b m Z p Z y 9 Q Y W N r Y W d l L n h t b F B L A Q I t A B Q A A g A I A K F x q F o P y u m r p A A A A O k A A A A T A A A A A A A A A A A A A A A A A O 8 A A A B b Q 2 9 u d G V u d F 9 U e X B l c 1 0 u e G 1 s U E s B A i 0 A F A A C A A g A o X G o 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m X n N 7 2 R z p N r X I y 2 1 O T U Q w A A A A A A g A A A A A A A 2 Y A A M A A A A A Q A A A A B 6 o U l d R / m M I N o S i M u V 5 r 0 Q A A A A A E g A A A o A A A A B A A A A B d E 2 D f B u F j r u M M w 0 1 K E T 0 8 U A A A A G v L 4 a N s v b J 8 R A 6 Y a r 3 y S g 8 9 S C p u 1 8 g L p G o 6 Z C k C c G 1 3 R H B i p K V d 7 Q V W / j e p 3 D v I 4 s h Y T b S P r r F s w K k h G X M H W S Z W g f 9 U 8 K m H n 4 r S 0 k r i u M 1 V F A A A A C C + K F b E M 9 l 6 q p F 0 t N 4 b Y / T y V 2 0 s < / D a t a M a s h u p > 
</file>

<file path=customXml/item4.xml><?xml version="1.0" encoding="utf-8"?>
<ct:contentTypeSchema xmlns:ct="http://schemas.microsoft.com/office/2006/metadata/contentType" xmlns:ma="http://schemas.microsoft.com/office/2006/metadata/properties/metaAttributes" ct:_="" ma:_="" ma:contentTypeName="Document" ma:contentTypeID="0x01010053E15548763ABB4CA4D6860A46D77EAF" ma:contentTypeVersion="21" ma:contentTypeDescription="Create a new document." ma:contentTypeScope="" ma:versionID="afef3b8107ac107ee8961fc0b9b3fe4b">
  <xsd:schema xmlns:xsd="http://www.w3.org/2001/XMLSchema" xmlns:xs="http://www.w3.org/2001/XMLSchema" xmlns:p="http://schemas.microsoft.com/office/2006/metadata/properties" xmlns:ns1="http://schemas.microsoft.com/sharepoint/v3" xmlns:ns2="a0abc17b-26fa-4a6c-85fa-ec6ed5308116" xmlns:ns3="a6f2d9b7-3122-4fa2-9c6a-801252b48ae7" targetNamespace="http://schemas.microsoft.com/office/2006/metadata/properties" ma:root="true" ma:fieldsID="3b7fe979b3eb7ef21aa330412cac94aa" ns1:_="" ns2:_="" ns3:_="">
    <xsd:import namespace="http://schemas.microsoft.com/sharepoint/v3"/>
    <xsd:import namespace="a0abc17b-26fa-4a6c-85fa-ec6ed5308116"/>
    <xsd:import namespace="a6f2d9b7-3122-4fa2-9c6a-801252b48ae7"/>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CR"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abc17b-26fa-4a6c-85fa-ec6ed53081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dd0a8f6-c2df-45ea-93d6-61234a1c0ff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f2d9b7-3122-4fa2-9c6a-801252b48ae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9f08586-3159-43f0-895d-17292e44c117}" ma:internalName="TaxCatchAll" ma:showField="CatchAllData" ma:web="a6f2d9b7-3122-4fa2-9c6a-801252b48a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5A493F-6DEC-414F-B0B8-2F750A1149ED}"/>
</file>

<file path=customXml/itemProps2.xml><?xml version="1.0" encoding="utf-8"?>
<ds:datastoreItem xmlns:ds="http://schemas.openxmlformats.org/officeDocument/2006/customXml" ds:itemID="{B28A610D-B700-4FE9-AF52-67B848FEADD5}"/>
</file>

<file path=customXml/itemProps3.xml><?xml version="1.0" encoding="utf-8"?>
<ds:datastoreItem xmlns:ds="http://schemas.openxmlformats.org/officeDocument/2006/customXml" ds:itemID="{B981FA33-9F78-407F-BB2D-B146D67326ED}"/>
</file>

<file path=customXml/itemProps4.xml><?xml version="1.0" encoding="utf-8"?>
<ds:datastoreItem xmlns:ds="http://schemas.openxmlformats.org/officeDocument/2006/customXml" ds:itemID="{C2627A3A-7D07-4A29-B868-39DFD5CABE2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2025-03-12T15:27:54Z</dcterms:created>
  <dcterms:modified xsi:type="dcterms:W3CDTF">2026-01-26T20:40:06Z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0x01010053E15548763ABB4CA4D6860A46D77EAF</vt:lpwstr>
  </property>
  <property fmtid="{D5CDD505-2E9C-101B-9397-08002B2CF9AE}" pid="3" name="MediaServiceImageTags">
    <vt:lpwstr/>
  </property>
</Properties>
</file>